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Government Operations\Values\"/>
    </mc:Choice>
  </mc:AlternateContent>
  <bookViews>
    <workbookView xWindow="0" yWindow="0" windowWidth="20490" windowHeight="7320"/>
  </bookViews>
  <sheets>
    <sheet name="GY" sheetId="1" r:id="rId1"/>
  </sheets>
  <definedNames>
    <definedName name="Z_024E3B47_989E_4F8E_A15A_28B06E344E63_.wvu.Cols" localSheetId="0" hidden="1">GY!#REF!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1" i="1" l="1"/>
  <c r="G151" i="1"/>
  <c r="F151" i="1"/>
  <c r="I148" i="1"/>
  <c r="I147" i="1" s="1"/>
  <c r="F148" i="1"/>
  <c r="F147" i="1" s="1"/>
  <c r="D148" i="1"/>
  <c r="M147" i="1"/>
  <c r="L147" i="1"/>
  <c r="L144" i="1" s="1"/>
  <c r="K147" i="1"/>
  <c r="K144" i="1" s="1"/>
  <c r="J147" i="1"/>
  <c r="J144" i="1" s="1"/>
  <c r="H147" i="1"/>
  <c r="G147" i="1"/>
  <c r="E147" i="1"/>
  <c r="E144" i="1" s="1"/>
  <c r="C147" i="1"/>
  <c r="C144" i="1" s="1"/>
  <c r="B147" i="1"/>
  <c r="B144" i="1" s="1"/>
  <c r="I146" i="1"/>
  <c r="H146" i="1"/>
  <c r="G146" i="1"/>
  <c r="M144" i="1"/>
  <c r="F138" i="1"/>
  <c r="H134" i="1"/>
  <c r="G134" i="1"/>
  <c r="E134" i="1"/>
  <c r="D134" i="1"/>
  <c r="H132" i="1"/>
  <c r="G132" i="1"/>
  <c r="G131" i="1" s="1"/>
  <c r="G130" i="1" s="1"/>
  <c r="F132" i="1"/>
  <c r="E132" i="1"/>
  <c r="D132" i="1"/>
  <c r="M131" i="1"/>
  <c r="M130" i="1" s="1"/>
  <c r="L131" i="1"/>
  <c r="L130" i="1" s="1"/>
  <c r="K131" i="1"/>
  <c r="K130" i="1" s="1"/>
  <c r="J131" i="1"/>
  <c r="J130" i="1" s="1"/>
  <c r="I131" i="1"/>
  <c r="I130" i="1" s="1"/>
  <c r="F131" i="1"/>
  <c r="C131" i="1"/>
  <c r="C130" i="1" s="1"/>
  <c r="B131" i="1"/>
  <c r="B130" i="1" s="1"/>
  <c r="E128" i="1"/>
  <c r="C128" i="1"/>
  <c r="J121" i="1"/>
  <c r="B121" i="1"/>
  <c r="D118" i="1"/>
  <c r="F117" i="1"/>
  <c r="F116" i="1"/>
  <c r="D116" i="1"/>
  <c r="M112" i="1"/>
  <c r="L112" i="1"/>
  <c r="K112" i="1"/>
  <c r="J112" i="1"/>
  <c r="I112" i="1"/>
  <c r="H112" i="1"/>
  <c r="G112" i="1"/>
  <c r="E112" i="1"/>
  <c r="C112" i="1"/>
  <c r="B112" i="1"/>
  <c r="J111" i="1"/>
  <c r="D111" i="1"/>
  <c r="B111" i="1"/>
  <c r="J109" i="1"/>
  <c r="D109" i="1"/>
  <c r="B109" i="1"/>
  <c r="M108" i="1"/>
  <c r="L108" i="1"/>
  <c r="K108" i="1"/>
  <c r="I108" i="1"/>
  <c r="H108" i="1"/>
  <c r="G108" i="1"/>
  <c r="F108" i="1"/>
  <c r="E108" i="1"/>
  <c r="C108" i="1"/>
  <c r="H107" i="1"/>
  <c r="G107" i="1"/>
  <c r="D107" i="1"/>
  <c r="C107" i="1"/>
  <c r="B107" i="1"/>
  <c r="H106" i="1"/>
  <c r="G106" i="1"/>
  <c r="D106" i="1"/>
  <c r="C106" i="1"/>
  <c r="B106" i="1"/>
  <c r="M104" i="1"/>
  <c r="L104" i="1"/>
  <c r="K104" i="1"/>
  <c r="J104" i="1"/>
  <c r="I104" i="1"/>
  <c r="F104" i="1"/>
  <c r="E104" i="1"/>
  <c r="J103" i="1"/>
  <c r="I103" i="1"/>
  <c r="J102" i="1"/>
  <c r="I102" i="1"/>
  <c r="M101" i="1"/>
  <c r="L101" i="1"/>
  <c r="K101" i="1"/>
  <c r="H101" i="1"/>
  <c r="G101" i="1"/>
  <c r="F101" i="1"/>
  <c r="E101" i="1"/>
  <c r="D101" i="1"/>
  <c r="C101" i="1"/>
  <c r="B101" i="1"/>
  <c r="F98" i="1"/>
  <c r="E98" i="1"/>
  <c r="D98" i="1"/>
  <c r="B98" i="1"/>
  <c r="F96" i="1"/>
  <c r="F95" i="1" s="1"/>
  <c r="E96" i="1"/>
  <c r="E95" i="1" s="1"/>
  <c r="D96" i="1"/>
  <c r="B96" i="1"/>
  <c r="B95" i="1" s="1"/>
  <c r="M95" i="1"/>
  <c r="L95" i="1"/>
  <c r="K95" i="1"/>
  <c r="J95" i="1"/>
  <c r="I95" i="1"/>
  <c r="H95" i="1"/>
  <c r="G95" i="1"/>
  <c r="C95" i="1"/>
  <c r="D104" i="1" l="1"/>
  <c r="J101" i="1"/>
  <c r="H144" i="1"/>
  <c r="J108" i="1"/>
  <c r="J94" i="1" s="1"/>
  <c r="J93" i="1" s="1"/>
  <c r="J140" i="1" s="1"/>
  <c r="B108" i="1"/>
  <c r="G104" i="1"/>
  <c r="G94" i="1" s="1"/>
  <c r="G93" i="1" s="1"/>
  <c r="G92" i="1" s="1"/>
  <c r="D108" i="1"/>
  <c r="C104" i="1"/>
  <c r="C94" i="1" s="1"/>
  <c r="C93" i="1" s="1"/>
  <c r="C92" i="1" s="1"/>
  <c r="E131" i="1"/>
  <c r="E130" i="1" s="1"/>
  <c r="F144" i="1"/>
  <c r="L94" i="1"/>
  <c r="L93" i="1" s="1"/>
  <c r="L140" i="1" s="1"/>
  <c r="D131" i="1"/>
  <c r="D130" i="1" s="1"/>
  <c r="I101" i="1"/>
  <c r="I94" i="1" s="1"/>
  <c r="I144" i="1"/>
  <c r="D95" i="1"/>
  <c r="M94" i="1"/>
  <c r="K94" i="1"/>
  <c r="K93" i="1" s="1"/>
  <c r="K140" i="1" s="1"/>
  <c r="B104" i="1"/>
  <c r="H104" i="1"/>
  <c r="H94" i="1" s="1"/>
  <c r="H93" i="1" s="1"/>
  <c r="H92" i="1" s="1"/>
  <c r="H131" i="1"/>
  <c r="H130" i="1" s="1"/>
  <c r="F130" i="1"/>
  <c r="F112" i="1"/>
  <c r="F94" i="1" s="1"/>
  <c r="F93" i="1" s="1"/>
  <c r="F92" i="1" s="1"/>
  <c r="D112" i="1"/>
  <c r="F140" i="1"/>
  <c r="G144" i="1"/>
  <c r="E94" i="1"/>
  <c r="D147" i="1"/>
  <c r="D144" i="1" s="1"/>
  <c r="K92" i="1" l="1"/>
  <c r="K142" i="1" s="1"/>
  <c r="C140" i="1"/>
  <c r="H140" i="1"/>
  <c r="G140" i="1"/>
  <c r="L92" i="1"/>
  <c r="J92" i="1"/>
  <c r="J142" i="1" s="1"/>
  <c r="B94" i="1"/>
  <c r="M93" i="1"/>
  <c r="I93" i="1"/>
  <c r="G142" i="1"/>
  <c r="G141" i="1"/>
  <c r="H142" i="1"/>
  <c r="H141" i="1"/>
  <c r="F142" i="1"/>
  <c r="F141" i="1"/>
  <c r="C142" i="1"/>
  <c r="C141" i="1"/>
  <c r="K141" i="1"/>
  <c r="E93" i="1"/>
  <c r="D94" i="1"/>
  <c r="L142" i="1" l="1"/>
  <c r="L141" i="1"/>
  <c r="J141" i="1"/>
  <c r="B93" i="1"/>
  <c r="I92" i="1"/>
  <c r="I140" i="1"/>
  <c r="M140" i="1"/>
  <c r="M92" i="1"/>
  <c r="D93" i="1"/>
  <c r="E140" i="1"/>
  <c r="E92" i="1"/>
  <c r="I141" i="1" l="1"/>
  <c r="I142" i="1"/>
  <c r="M142" i="1"/>
  <c r="M141" i="1"/>
  <c r="B140" i="1"/>
  <c r="B92" i="1"/>
  <c r="D140" i="1"/>
  <c r="D92" i="1"/>
  <c r="E142" i="1"/>
  <c r="E141" i="1"/>
  <c r="B142" i="1" l="1"/>
  <c r="B141" i="1"/>
  <c r="D142" i="1"/>
  <c r="D141" i="1"/>
  <c r="K40" i="1" l="1"/>
  <c r="K204" i="1" s="1"/>
  <c r="K20" i="1"/>
  <c r="K184" i="1" s="1"/>
  <c r="K32" i="1"/>
  <c r="K196" i="1" s="1"/>
  <c r="K69" i="1"/>
  <c r="K233" i="1" s="1"/>
  <c r="K17" i="1"/>
  <c r="K181" i="1" s="1"/>
  <c r="K25" i="1"/>
  <c r="K189" i="1" s="1"/>
  <c r="K66" i="1"/>
  <c r="K49" i="1"/>
  <c r="K213" i="1" s="1"/>
  <c r="K12" i="1"/>
  <c r="K176" i="1" s="1"/>
  <c r="K23" i="1"/>
  <c r="K187" i="1" s="1"/>
  <c r="K39" i="1"/>
  <c r="K203" i="1" s="1"/>
  <c r="K42" i="1"/>
  <c r="K206" i="1" s="1"/>
  <c r="K13" i="1"/>
  <c r="K177" i="1" s="1"/>
  <c r="K10" i="1"/>
  <c r="K46" i="1"/>
  <c r="K210" i="1" s="1"/>
  <c r="K50" i="1"/>
  <c r="K214" i="1" s="1"/>
  <c r="K67" i="1"/>
  <c r="K231" i="1" s="1"/>
  <c r="K30" i="1"/>
  <c r="K194" i="1" s="1"/>
  <c r="K53" i="1"/>
  <c r="K217" i="1" s="1"/>
  <c r="K14" i="1"/>
  <c r="K178" i="1" s="1"/>
  <c r="K54" i="1"/>
  <c r="K218" i="1" s="1"/>
  <c r="K41" i="1"/>
  <c r="K205" i="1" s="1"/>
  <c r="K21" i="1"/>
  <c r="K185" i="1" s="1"/>
  <c r="K29" i="1"/>
  <c r="K193" i="1" s="1"/>
  <c r="K36" i="1"/>
  <c r="K200" i="1" s="1"/>
  <c r="K37" i="1"/>
  <c r="K201" i="1" s="1"/>
  <c r="K38" i="1"/>
  <c r="K202" i="1" s="1"/>
  <c r="K19" i="1"/>
  <c r="K183" i="1" s="1"/>
  <c r="K11" i="1"/>
  <c r="K18" i="1"/>
  <c r="K182" i="1" s="1"/>
  <c r="K64" i="1"/>
  <c r="K228" i="1" s="1"/>
  <c r="K33" i="1"/>
  <c r="K197" i="1" s="1"/>
  <c r="K31" i="1"/>
  <c r="K195" i="1" s="1"/>
  <c r="K34" i="1"/>
  <c r="K198" i="1" s="1"/>
  <c r="K44" i="1"/>
  <c r="K208" i="1" s="1"/>
  <c r="K22" i="1"/>
  <c r="K186" i="1" s="1"/>
  <c r="K24" i="1"/>
  <c r="K188" i="1" s="1"/>
  <c r="K48" i="1"/>
  <c r="K212" i="1" s="1"/>
  <c r="K28" i="1"/>
  <c r="K192" i="1" s="1"/>
  <c r="K27" i="1"/>
  <c r="K191" i="1" s="1"/>
  <c r="K56" i="1"/>
  <c r="K220" i="1" s="1"/>
  <c r="K16" i="1"/>
  <c r="K180" i="1" s="1"/>
  <c r="K26" i="1"/>
  <c r="K190" i="1" s="1"/>
  <c r="K35" i="1"/>
  <c r="K199" i="1" s="1"/>
  <c r="G66" i="1"/>
  <c r="G30" i="1"/>
  <c r="G194" i="1" s="1"/>
  <c r="G22" i="1"/>
  <c r="G186" i="1" s="1"/>
  <c r="G46" i="1"/>
  <c r="G210" i="1" s="1"/>
  <c r="G14" i="1"/>
  <c r="G178" i="1" s="1"/>
  <c r="G69" i="1"/>
  <c r="G233" i="1" s="1"/>
  <c r="G32" i="1"/>
  <c r="G196" i="1" s="1"/>
  <c r="G37" i="1"/>
  <c r="G201" i="1" s="1"/>
  <c r="G12" i="1"/>
  <c r="G176" i="1" s="1"/>
  <c r="G67" i="1"/>
  <c r="G231" i="1" s="1"/>
  <c r="G56" i="1"/>
  <c r="G220" i="1" s="1"/>
  <c r="G54" i="1"/>
  <c r="G218" i="1" s="1"/>
  <c r="G26" i="1"/>
  <c r="G190" i="1" s="1"/>
  <c r="G18" i="1"/>
  <c r="G182" i="1" s="1"/>
  <c r="G38" i="1"/>
  <c r="G202" i="1" s="1"/>
  <c r="G39" i="1"/>
  <c r="G203" i="1" s="1"/>
  <c r="G41" i="1"/>
  <c r="G205" i="1" s="1"/>
  <c r="G28" i="1"/>
  <c r="G192" i="1" s="1"/>
  <c r="G20" i="1"/>
  <c r="G184" i="1" s="1"/>
  <c r="G64" i="1"/>
  <c r="G228" i="1" s="1"/>
  <c r="G31" i="1"/>
  <c r="G195" i="1" s="1"/>
  <c r="G27" i="1"/>
  <c r="G191" i="1" s="1"/>
  <c r="G48" i="1"/>
  <c r="G212" i="1" s="1"/>
  <c r="G24" i="1"/>
  <c r="G188" i="1" s="1"/>
  <c r="G40" i="1"/>
  <c r="G204" i="1" s="1"/>
  <c r="G29" i="1"/>
  <c r="G193" i="1" s="1"/>
  <c r="G21" i="1"/>
  <c r="G185" i="1" s="1"/>
  <c r="G50" i="1"/>
  <c r="G214" i="1" s="1"/>
  <c r="G35" i="1"/>
  <c r="G199" i="1" s="1"/>
  <c r="G16" i="1"/>
  <c r="G180" i="1" s="1"/>
  <c r="G49" i="1"/>
  <c r="G213" i="1" s="1"/>
  <c r="G23" i="1"/>
  <c r="G187" i="1" s="1"/>
  <c r="G19" i="1"/>
  <c r="G183" i="1" s="1"/>
  <c r="G11" i="1"/>
  <c r="G44" i="1"/>
  <c r="G208" i="1" s="1"/>
  <c r="G34" i="1"/>
  <c r="G198" i="1" s="1"/>
  <c r="G33" i="1"/>
  <c r="G197" i="1" s="1"/>
  <c r="G53" i="1"/>
  <c r="G217" i="1" s="1"/>
  <c r="G13" i="1"/>
  <c r="G177" i="1" s="1"/>
  <c r="G10" i="1"/>
  <c r="G36" i="1"/>
  <c r="G200" i="1" s="1"/>
  <c r="G25" i="1"/>
  <c r="G189" i="1" s="1"/>
  <c r="G42" i="1"/>
  <c r="G206" i="1" s="1"/>
  <c r="G17" i="1"/>
  <c r="G181" i="1" s="1"/>
  <c r="C50" i="1"/>
  <c r="C214" i="1" s="1"/>
  <c r="C24" i="1"/>
  <c r="C188" i="1" s="1"/>
  <c r="C35" i="1"/>
  <c r="C199" i="1" s="1"/>
  <c r="C42" i="1"/>
  <c r="C206" i="1" s="1"/>
  <c r="C33" i="1"/>
  <c r="C197" i="1" s="1"/>
  <c r="C40" i="1"/>
  <c r="C204" i="1" s="1"/>
  <c r="C29" i="1"/>
  <c r="C193" i="1" s="1"/>
  <c r="C19" i="1"/>
  <c r="C183" i="1" s="1"/>
  <c r="C37" i="1"/>
  <c r="C201" i="1" s="1"/>
  <c r="C41" i="1"/>
  <c r="C205" i="1" s="1"/>
  <c r="C22" i="1"/>
  <c r="C186" i="1" s="1"/>
  <c r="C48" i="1"/>
  <c r="C212" i="1" s="1"/>
  <c r="C46" i="1"/>
  <c r="C210" i="1" s="1"/>
  <c r="C44" i="1"/>
  <c r="C208" i="1" s="1"/>
  <c r="C11" i="1"/>
  <c r="C66" i="1"/>
  <c r="C30" i="1"/>
  <c r="C194" i="1" s="1"/>
  <c r="C20" i="1"/>
  <c r="C184" i="1" s="1"/>
  <c r="C54" i="1"/>
  <c r="C218" i="1" s="1"/>
  <c r="C25" i="1"/>
  <c r="C189" i="1" s="1"/>
  <c r="C39" i="1"/>
  <c r="C203" i="1" s="1"/>
  <c r="C28" i="1"/>
  <c r="C192" i="1" s="1"/>
  <c r="C18" i="1"/>
  <c r="C182" i="1" s="1"/>
  <c r="C10" i="1"/>
  <c r="C16" i="1"/>
  <c r="C180" i="1" s="1"/>
  <c r="C53" i="1"/>
  <c r="C217" i="1" s="1"/>
  <c r="C67" i="1"/>
  <c r="C231" i="1" s="1"/>
  <c r="C31" i="1"/>
  <c r="C195" i="1" s="1"/>
  <c r="C21" i="1"/>
  <c r="C185" i="1" s="1"/>
  <c r="C56" i="1"/>
  <c r="C220" i="1" s="1"/>
  <c r="C26" i="1"/>
  <c r="C190" i="1" s="1"/>
  <c r="C13" i="1"/>
  <c r="C177" i="1" s="1"/>
  <c r="C69" i="1"/>
  <c r="C233" i="1" s="1"/>
  <c r="C49" i="1"/>
  <c r="C213" i="1" s="1"/>
  <c r="C23" i="1"/>
  <c r="C187" i="1" s="1"/>
  <c r="C64" i="1"/>
  <c r="C228" i="1" s="1"/>
  <c r="C38" i="1"/>
  <c r="C202" i="1" s="1"/>
  <c r="C34" i="1"/>
  <c r="C198" i="1" s="1"/>
  <c r="C17" i="1"/>
  <c r="C181" i="1" s="1"/>
  <c r="C32" i="1"/>
  <c r="C196" i="1" s="1"/>
  <c r="C14" i="1"/>
  <c r="C178" i="1" s="1"/>
  <c r="C27" i="1"/>
  <c r="C191" i="1" s="1"/>
  <c r="C12" i="1"/>
  <c r="C176" i="1" s="1"/>
  <c r="C36" i="1"/>
  <c r="C200" i="1" s="1"/>
  <c r="J23" i="1"/>
  <c r="J187" i="1" s="1"/>
  <c r="J67" i="1"/>
  <c r="J231" i="1" s="1"/>
  <c r="J17" i="1"/>
  <c r="J181" i="1" s="1"/>
  <c r="J34" i="1"/>
  <c r="J198" i="1" s="1"/>
  <c r="J13" i="1"/>
  <c r="J177" i="1" s="1"/>
  <c r="J40" i="1"/>
  <c r="J204" i="1" s="1"/>
  <c r="J54" i="1"/>
  <c r="J218" i="1" s="1"/>
  <c r="J12" i="1"/>
  <c r="J176" i="1" s="1"/>
  <c r="J37" i="1"/>
  <c r="J201" i="1" s="1"/>
  <c r="J24" i="1"/>
  <c r="J188" i="1" s="1"/>
  <c r="J22" i="1"/>
  <c r="J186" i="1" s="1"/>
  <c r="J69" i="1"/>
  <c r="J233" i="1" s="1"/>
  <c r="J38" i="1"/>
  <c r="J202" i="1" s="1"/>
  <c r="J19" i="1"/>
  <c r="J183" i="1" s="1"/>
  <c r="J36" i="1"/>
  <c r="J200" i="1" s="1"/>
  <c r="J49" i="1"/>
  <c r="J213" i="1" s="1"/>
  <c r="J27" i="1"/>
  <c r="J191" i="1" s="1"/>
  <c r="J33" i="1"/>
  <c r="J197" i="1" s="1"/>
  <c r="J46" i="1"/>
  <c r="J210" i="1" s="1"/>
  <c r="J50" i="1"/>
  <c r="J214" i="1" s="1"/>
  <c r="J56" i="1"/>
  <c r="J220" i="1" s="1"/>
  <c r="J31" i="1"/>
  <c r="J195" i="1" s="1"/>
  <c r="J39" i="1"/>
  <c r="J203" i="1" s="1"/>
  <c r="J35" i="1"/>
  <c r="J199" i="1" s="1"/>
  <c r="J21" i="1"/>
  <c r="J185" i="1" s="1"/>
  <c r="J30" i="1"/>
  <c r="J194" i="1" s="1"/>
  <c r="J16" i="1"/>
  <c r="J180" i="1" s="1"/>
  <c r="J11" i="1"/>
  <c r="J29" i="1"/>
  <c r="J193" i="1" s="1"/>
  <c r="J44" i="1"/>
  <c r="J208" i="1" s="1"/>
  <c r="J32" i="1"/>
  <c r="J196" i="1" s="1"/>
  <c r="J42" i="1"/>
  <c r="J206" i="1" s="1"/>
  <c r="J53" i="1"/>
  <c r="J217" i="1" s="1"/>
  <c r="J41" i="1"/>
  <c r="J205" i="1" s="1"/>
  <c r="J20" i="1"/>
  <c r="J184" i="1" s="1"/>
  <c r="J28" i="1"/>
  <c r="J192" i="1" s="1"/>
  <c r="J14" i="1"/>
  <c r="J178" i="1" s="1"/>
  <c r="J48" i="1"/>
  <c r="J212" i="1" s="1"/>
  <c r="J64" i="1"/>
  <c r="J228" i="1" s="1"/>
  <c r="J18" i="1"/>
  <c r="J182" i="1" s="1"/>
  <c r="J26" i="1"/>
  <c r="J190" i="1" s="1"/>
  <c r="J66" i="1"/>
  <c r="J25" i="1"/>
  <c r="J189" i="1" s="1"/>
  <c r="J10" i="1"/>
  <c r="F69" i="1"/>
  <c r="F233" i="1" s="1"/>
  <c r="F30" i="1"/>
  <c r="F194" i="1" s="1"/>
  <c r="F20" i="1"/>
  <c r="F184" i="1" s="1"/>
  <c r="F53" i="1"/>
  <c r="F217" i="1" s="1"/>
  <c r="F44" i="1"/>
  <c r="F208" i="1" s="1"/>
  <c r="F16" i="1"/>
  <c r="F180" i="1" s="1"/>
  <c r="F36" i="1"/>
  <c r="F200" i="1" s="1"/>
  <c r="F46" i="1"/>
  <c r="F210" i="1" s="1"/>
  <c r="F40" i="1"/>
  <c r="F204" i="1" s="1"/>
  <c r="F41" i="1"/>
  <c r="F205" i="1" s="1"/>
  <c r="F11" i="1"/>
  <c r="F38" i="1"/>
  <c r="F202" i="1" s="1"/>
  <c r="F26" i="1"/>
  <c r="F190" i="1" s="1"/>
  <c r="F17" i="1"/>
  <c r="F181" i="1" s="1"/>
  <c r="F33" i="1"/>
  <c r="F197" i="1" s="1"/>
  <c r="F24" i="1"/>
  <c r="F188" i="1" s="1"/>
  <c r="F66" i="1"/>
  <c r="F31" i="1"/>
  <c r="F195" i="1" s="1"/>
  <c r="F27" i="1"/>
  <c r="F191" i="1" s="1"/>
  <c r="F32" i="1"/>
  <c r="F196" i="1" s="1"/>
  <c r="F13" i="1"/>
  <c r="F177" i="1" s="1"/>
  <c r="F10" i="1"/>
  <c r="F23" i="1"/>
  <c r="F187" i="1" s="1"/>
  <c r="F56" i="1"/>
  <c r="F220" i="1" s="1"/>
  <c r="F50" i="1"/>
  <c r="F214" i="1" s="1"/>
  <c r="F67" i="1"/>
  <c r="F231" i="1" s="1"/>
  <c r="F29" i="1"/>
  <c r="F193" i="1" s="1"/>
  <c r="F22" i="1"/>
  <c r="F186" i="1" s="1"/>
  <c r="F49" i="1"/>
  <c r="F213" i="1" s="1"/>
  <c r="F21" i="1"/>
  <c r="F185" i="1" s="1"/>
  <c r="F35" i="1"/>
  <c r="F199" i="1" s="1"/>
  <c r="F64" i="1"/>
  <c r="F12" i="1"/>
  <c r="F176" i="1" s="1"/>
  <c r="F34" i="1"/>
  <c r="F198" i="1" s="1"/>
  <c r="F28" i="1"/>
  <c r="F192" i="1" s="1"/>
  <c r="F48" i="1"/>
  <c r="F212" i="1" s="1"/>
  <c r="F18" i="1"/>
  <c r="F182" i="1" s="1"/>
  <c r="F54" i="1"/>
  <c r="F218" i="1" s="1"/>
  <c r="F19" i="1"/>
  <c r="F183" i="1" s="1"/>
  <c r="F37" i="1"/>
  <c r="F201" i="1" s="1"/>
  <c r="F39" i="1"/>
  <c r="F203" i="1" s="1"/>
  <c r="F25" i="1"/>
  <c r="F189" i="1" s="1"/>
  <c r="F42" i="1"/>
  <c r="F206" i="1" s="1"/>
  <c r="F14" i="1"/>
  <c r="F178" i="1" s="1"/>
  <c r="B20" i="1"/>
  <c r="B184" i="1" s="1"/>
  <c r="B34" i="1"/>
  <c r="B198" i="1" s="1"/>
  <c r="B13" i="1"/>
  <c r="B177" i="1" s="1"/>
  <c r="B56" i="1"/>
  <c r="B220" i="1" s="1"/>
  <c r="B64" i="1"/>
  <c r="B228" i="1" s="1"/>
  <c r="B53" i="1"/>
  <c r="B217" i="1" s="1"/>
  <c r="B16" i="1"/>
  <c r="B180" i="1" s="1"/>
  <c r="B19" i="1"/>
  <c r="B183" i="1" s="1"/>
  <c r="B17" i="1"/>
  <c r="B181" i="1" s="1"/>
  <c r="B27" i="1"/>
  <c r="B191" i="1" s="1"/>
  <c r="B22" i="1"/>
  <c r="B186" i="1" s="1"/>
  <c r="B18" i="1"/>
  <c r="B182" i="1" s="1"/>
  <c r="B46" i="1"/>
  <c r="B210" i="1" s="1"/>
  <c r="B48" i="1"/>
  <c r="B212" i="1" s="1"/>
  <c r="B42" i="1"/>
  <c r="B206" i="1" s="1"/>
  <c r="B44" i="1"/>
  <c r="B208" i="1" s="1"/>
  <c r="B32" i="1"/>
  <c r="B196" i="1" s="1"/>
  <c r="B49" i="1"/>
  <c r="B213" i="1" s="1"/>
  <c r="B69" i="1"/>
  <c r="B233" i="1" s="1"/>
  <c r="B21" i="1"/>
  <c r="B185" i="1" s="1"/>
  <c r="B36" i="1"/>
  <c r="B200" i="1" s="1"/>
  <c r="B12" i="1"/>
  <c r="B176" i="1" s="1"/>
  <c r="B67" i="1"/>
  <c r="B231" i="1" s="1"/>
  <c r="B30" i="1"/>
  <c r="B194" i="1" s="1"/>
  <c r="B66" i="1"/>
  <c r="B29" i="1"/>
  <c r="B193" i="1" s="1"/>
  <c r="B39" i="1"/>
  <c r="B203" i="1" s="1"/>
  <c r="B28" i="1"/>
  <c r="B192" i="1" s="1"/>
  <c r="B54" i="1"/>
  <c r="B218" i="1" s="1"/>
  <c r="B31" i="1"/>
  <c r="B195" i="1" s="1"/>
  <c r="B33" i="1"/>
  <c r="B197" i="1" s="1"/>
  <c r="B35" i="1"/>
  <c r="B199" i="1" s="1"/>
  <c r="B11" i="1"/>
  <c r="B25" i="1"/>
  <c r="B189" i="1" s="1"/>
  <c r="B50" i="1"/>
  <c r="B214" i="1" s="1"/>
  <c r="B14" i="1"/>
  <c r="B178" i="1" s="1"/>
  <c r="B37" i="1"/>
  <c r="B201" i="1" s="1"/>
  <c r="B41" i="1"/>
  <c r="B205" i="1" s="1"/>
  <c r="B38" i="1"/>
  <c r="B202" i="1" s="1"/>
  <c r="B40" i="1"/>
  <c r="B204" i="1" s="1"/>
  <c r="B26" i="1"/>
  <c r="B190" i="1" s="1"/>
  <c r="B24" i="1"/>
  <c r="B188" i="1" s="1"/>
  <c r="B23" i="1"/>
  <c r="B187" i="1" s="1"/>
  <c r="B10" i="1"/>
  <c r="M24" i="1"/>
  <c r="M188" i="1" s="1"/>
  <c r="M69" i="1"/>
  <c r="M233" i="1" s="1"/>
  <c r="M39" i="1"/>
  <c r="M203" i="1" s="1"/>
  <c r="M32" i="1"/>
  <c r="M196" i="1" s="1"/>
  <c r="M49" i="1"/>
  <c r="M213" i="1" s="1"/>
  <c r="M17" i="1"/>
  <c r="M181" i="1" s="1"/>
  <c r="M27" i="1"/>
  <c r="M191" i="1" s="1"/>
  <c r="M36" i="1"/>
  <c r="M200" i="1" s="1"/>
  <c r="M46" i="1"/>
  <c r="M210" i="1" s="1"/>
  <c r="M19" i="1"/>
  <c r="M183" i="1" s="1"/>
  <c r="M11" i="1"/>
  <c r="M34" i="1"/>
  <c r="M198" i="1" s="1"/>
  <c r="M38" i="1"/>
  <c r="M202" i="1" s="1"/>
  <c r="M22" i="1"/>
  <c r="M186" i="1" s="1"/>
  <c r="M13" i="1"/>
  <c r="M177" i="1" s="1"/>
  <c r="M50" i="1"/>
  <c r="M214" i="1" s="1"/>
  <c r="M16" i="1"/>
  <c r="M180" i="1" s="1"/>
  <c r="M26" i="1"/>
  <c r="M190" i="1" s="1"/>
  <c r="M42" i="1"/>
  <c r="M206" i="1" s="1"/>
  <c r="M21" i="1"/>
  <c r="M185" i="1" s="1"/>
  <c r="M31" i="1"/>
  <c r="M195" i="1" s="1"/>
  <c r="M67" i="1"/>
  <c r="M231" i="1" s="1"/>
  <c r="M35" i="1"/>
  <c r="M199" i="1" s="1"/>
  <c r="M23" i="1"/>
  <c r="M187" i="1" s="1"/>
  <c r="M10" i="1"/>
  <c r="M14" i="1"/>
  <c r="M178" i="1" s="1"/>
  <c r="M18" i="1"/>
  <c r="M182" i="1" s="1"/>
  <c r="M41" i="1"/>
  <c r="M205" i="1" s="1"/>
  <c r="M66" i="1"/>
  <c r="M25" i="1"/>
  <c r="M189" i="1" s="1"/>
  <c r="M44" i="1"/>
  <c r="M208" i="1" s="1"/>
  <c r="M20" i="1"/>
  <c r="M184" i="1" s="1"/>
  <c r="M30" i="1"/>
  <c r="M194" i="1" s="1"/>
  <c r="M33" i="1"/>
  <c r="M197" i="1" s="1"/>
  <c r="M28" i="1"/>
  <c r="M192" i="1" s="1"/>
  <c r="M54" i="1"/>
  <c r="M218" i="1" s="1"/>
  <c r="M37" i="1"/>
  <c r="M201" i="1" s="1"/>
  <c r="M64" i="1"/>
  <c r="M228" i="1" s="1"/>
  <c r="M53" i="1"/>
  <c r="M217" i="1" s="1"/>
  <c r="M29" i="1"/>
  <c r="M193" i="1" s="1"/>
  <c r="M56" i="1"/>
  <c r="M220" i="1" s="1"/>
  <c r="M48" i="1"/>
  <c r="M212" i="1" s="1"/>
  <c r="M40" i="1"/>
  <c r="M204" i="1" s="1"/>
  <c r="M12" i="1"/>
  <c r="M176" i="1" s="1"/>
  <c r="I14" i="1"/>
  <c r="I178" i="1" s="1"/>
  <c r="I36" i="1"/>
  <c r="I200" i="1" s="1"/>
  <c r="I17" i="1"/>
  <c r="I181" i="1" s="1"/>
  <c r="I53" i="1"/>
  <c r="I217" i="1" s="1"/>
  <c r="I41" i="1"/>
  <c r="I205" i="1" s="1"/>
  <c r="I25" i="1"/>
  <c r="I189" i="1" s="1"/>
  <c r="I34" i="1"/>
  <c r="I198" i="1" s="1"/>
  <c r="I32" i="1"/>
  <c r="I196" i="1" s="1"/>
  <c r="I67" i="1"/>
  <c r="I231" i="1" s="1"/>
  <c r="I49" i="1"/>
  <c r="I213" i="1" s="1"/>
  <c r="I18" i="1"/>
  <c r="I182" i="1" s="1"/>
  <c r="I69" i="1"/>
  <c r="I233" i="1" s="1"/>
  <c r="I39" i="1"/>
  <c r="I203" i="1" s="1"/>
  <c r="I30" i="1"/>
  <c r="I194" i="1" s="1"/>
  <c r="I46" i="1"/>
  <c r="I210" i="1" s="1"/>
  <c r="I20" i="1"/>
  <c r="I184" i="1" s="1"/>
  <c r="I64" i="1"/>
  <c r="I228" i="1" s="1"/>
  <c r="I37" i="1"/>
  <c r="I201" i="1" s="1"/>
  <c r="I28" i="1"/>
  <c r="I192" i="1" s="1"/>
  <c r="I27" i="1"/>
  <c r="I191" i="1" s="1"/>
  <c r="I22" i="1"/>
  <c r="I186" i="1" s="1"/>
  <c r="I12" i="1"/>
  <c r="I176" i="1" s="1"/>
  <c r="I54" i="1"/>
  <c r="I218" i="1" s="1"/>
  <c r="I40" i="1"/>
  <c r="I204" i="1" s="1"/>
  <c r="I26" i="1"/>
  <c r="I190" i="1" s="1"/>
  <c r="I35" i="1"/>
  <c r="I199" i="1" s="1"/>
  <c r="I16" i="1"/>
  <c r="I180" i="1" s="1"/>
  <c r="I50" i="1"/>
  <c r="I214" i="1" s="1"/>
  <c r="I23" i="1"/>
  <c r="I187" i="1" s="1"/>
  <c r="I13" i="1"/>
  <c r="I177" i="1" s="1"/>
  <c r="I31" i="1"/>
  <c r="I195" i="1" s="1"/>
  <c r="I33" i="1"/>
  <c r="I197" i="1" s="1"/>
  <c r="I11" i="1"/>
  <c r="I66" i="1"/>
  <c r="I19" i="1"/>
  <c r="I183" i="1" s="1"/>
  <c r="I10" i="1"/>
  <c r="I44" i="1"/>
  <c r="I208" i="1" s="1"/>
  <c r="I38" i="1"/>
  <c r="I202" i="1" s="1"/>
  <c r="I56" i="1"/>
  <c r="I220" i="1" s="1"/>
  <c r="I21" i="1"/>
  <c r="I185" i="1" s="1"/>
  <c r="I48" i="1"/>
  <c r="I212" i="1" s="1"/>
  <c r="I29" i="1"/>
  <c r="I193" i="1" s="1"/>
  <c r="I24" i="1"/>
  <c r="I188" i="1" s="1"/>
  <c r="I42" i="1"/>
  <c r="I206" i="1" s="1"/>
  <c r="E24" i="1"/>
  <c r="E188" i="1" s="1"/>
  <c r="E34" i="1"/>
  <c r="E198" i="1" s="1"/>
  <c r="E16" i="1"/>
  <c r="E180" i="1" s="1"/>
  <c r="E42" i="1"/>
  <c r="E206" i="1" s="1"/>
  <c r="E19" i="1"/>
  <c r="E183" i="1" s="1"/>
  <c r="E53" i="1"/>
  <c r="E217" i="1" s="1"/>
  <c r="E22" i="1"/>
  <c r="E186" i="1" s="1"/>
  <c r="E64" i="1"/>
  <c r="E228" i="1" s="1"/>
  <c r="E13" i="1"/>
  <c r="E177" i="1" s="1"/>
  <c r="E39" i="1"/>
  <c r="E203" i="1" s="1"/>
  <c r="E30" i="1"/>
  <c r="E194" i="1" s="1"/>
  <c r="E33" i="1"/>
  <c r="E197" i="1" s="1"/>
  <c r="E41" i="1"/>
  <c r="E205" i="1" s="1"/>
  <c r="E36" i="1"/>
  <c r="E200" i="1" s="1"/>
  <c r="E56" i="1"/>
  <c r="E220" i="1" s="1"/>
  <c r="E67" i="1"/>
  <c r="E231" i="1" s="1"/>
  <c r="E26" i="1"/>
  <c r="E190" i="1" s="1"/>
  <c r="E38" i="1"/>
  <c r="E202" i="1" s="1"/>
  <c r="E29" i="1"/>
  <c r="E193" i="1" s="1"/>
  <c r="E23" i="1"/>
  <c r="E187" i="1" s="1"/>
  <c r="E18" i="1"/>
  <c r="E182" i="1" s="1"/>
  <c r="E27" i="1"/>
  <c r="E191" i="1" s="1"/>
  <c r="E46" i="1"/>
  <c r="E210" i="1" s="1"/>
  <c r="E17" i="1"/>
  <c r="E181" i="1" s="1"/>
  <c r="E11" i="1"/>
  <c r="E40" i="1"/>
  <c r="E204" i="1" s="1"/>
  <c r="E48" i="1"/>
  <c r="E212" i="1" s="1"/>
  <c r="E44" i="1"/>
  <c r="E208" i="1" s="1"/>
  <c r="E25" i="1"/>
  <c r="E189" i="1" s="1"/>
  <c r="E32" i="1"/>
  <c r="E196" i="1" s="1"/>
  <c r="E66" i="1"/>
  <c r="E31" i="1"/>
  <c r="E195" i="1" s="1"/>
  <c r="E49" i="1"/>
  <c r="E213" i="1" s="1"/>
  <c r="E10" i="1"/>
  <c r="E54" i="1"/>
  <c r="E218" i="1" s="1"/>
  <c r="E21" i="1"/>
  <c r="E185" i="1" s="1"/>
  <c r="E20" i="1"/>
  <c r="E184" i="1" s="1"/>
  <c r="E69" i="1"/>
  <c r="E233" i="1" s="1"/>
  <c r="E28" i="1"/>
  <c r="E192" i="1" s="1"/>
  <c r="E50" i="1"/>
  <c r="E214" i="1" s="1"/>
  <c r="E14" i="1"/>
  <c r="E178" i="1" s="1"/>
  <c r="E12" i="1"/>
  <c r="E176" i="1" s="1"/>
  <c r="E37" i="1"/>
  <c r="E201" i="1" s="1"/>
  <c r="E35" i="1"/>
  <c r="E199" i="1" s="1"/>
  <c r="L33" i="1"/>
  <c r="L197" i="1" s="1"/>
  <c r="L50" i="1"/>
  <c r="L214" i="1" s="1"/>
  <c r="L19" i="1"/>
  <c r="L183" i="1" s="1"/>
  <c r="L40" i="1"/>
  <c r="L204" i="1" s="1"/>
  <c r="L26" i="1"/>
  <c r="L190" i="1" s="1"/>
  <c r="L49" i="1"/>
  <c r="L213" i="1" s="1"/>
  <c r="L20" i="1"/>
  <c r="L184" i="1" s="1"/>
  <c r="L53" i="1"/>
  <c r="L217" i="1" s="1"/>
  <c r="L67" i="1"/>
  <c r="L231" i="1" s="1"/>
  <c r="L39" i="1"/>
  <c r="L203" i="1" s="1"/>
  <c r="L35" i="1"/>
  <c r="L199" i="1" s="1"/>
  <c r="L25" i="1"/>
  <c r="L189" i="1" s="1"/>
  <c r="L44" i="1"/>
  <c r="L208" i="1" s="1"/>
  <c r="L23" i="1"/>
  <c r="L187" i="1" s="1"/>
  <c r="L32" i="1"/>
  <c r="L196" i="1" s="1"/>
  <c r="L30" i="1"/>
  <c r="L194" i="1" s="1"/>
  <c r="L42" i="1"/>
  <c r="L206" i="1" s="1"/>
  <c r="L12" i="1"/>
  <c r="L176" i="1" s="1"/>
  <c r="L38" i="1"/>
  <c r="L202" i="1" s="1"/>
  <c r="L54" i="1"/>
  <c r="L218" i="1" s="1"/>
  <c r="L17" i="1"/>
  <c r="L181" i="1" s="1"/>
  <c r="L14" i="1"/>
  <c r="L178" i="1" s="1"/>
  <c r="L29" i="1"/>
  <c r="L193" i="1" s="1"/>
  <c r="L34" i="1"/>
  <c r="L198" i="1" s="1"/>
  <c r="L11" i="1"/>
  <c r="L46" i="1"/>
  <c r="L210" i="1" s="1"/>
  <c r="L69" i="1"/>
  <c r="L233" i="1" s="1"/>
  <c r="L64" i="1"/>
  <c r="L228" i="1" s="1"/>
  <c r="L13" i="1"/>
  <c r="L177" i="1" s="1"/>
  <c r="L27" i="1"/>
  <c r="L191" i="1" s="1"/>
  <c r="L48" i="1"/>
  <c r="L212" i="1" s="1"/>
  <c r="L21" i="1"/>
  <c r="L185" i="1" s="1"/>
  <c r="L22" i="1"/>
  <c r="L186" i="1" s="1"/>
  <c r="L37" i="1"/>
  <c r="L201" i="1" s="1"/>
  <c r="L16" i="1"/>
  <c r="L180" i="1" s="1"/>
  <c r="L66" i="1"/>
  <c r="L36" i="1"/>
  <c r="L200" i="1" s="1"/>
  <c r="L24" i="1"/>
  <c r="L188" i="1" s="1"/>
  <c r="L28" i="1"/>
  <c r="L192" i="1" s="1"/>
  <c r="L10" i="1"/>
  <c r="L56" i="1"/>
  <c r="L220" i="1" s="1"/>
  <c r="L18" i="1"/>
  <c r="L182" i="1" s="1"/>
  <c r="L31" i="1"/>
  <c r="L195" i="1" s="1"/>
  <c r="L41" i="1"/>
  <c r="L205" i="1" s="1"/>
  <c r="H69" i="1"/>
  <c r="H233" i="1" s="1"/>
  <c r="H39" i="1"/>
  <c r="H203" i="1" s="1"/>
  <c r="H32" i="1"/>
  <c r="H196" i="1" s="1"/>
  <c r="H49" i="1"/>
  <c r="H213" i="1" s="1"/>
  <c r="H21" i="1"/>
  <c r="H185" i="1" s="1"/>
  <c r="H66" i="1"/>
  <c r="H37" i="1"/>
  <c r="H201" i="1" s="1"/>
  <c r="H25" i="1"/>
  <c r="H189" i="1" s="1"/>
  <c r="H41" i="1"/>
  <c r="H205" i="1" s="1"/>
  <c r="H34" i="1"/>
  <c r="H198" i="1" s="1"/>
  <c r="H10" i="1"/>
  <c r="H64" i="1"/>
  <c r="H228" i="1" s="1"/>
  <c r="H14" i="1"/>
  <c r="H178" i="1" s="1"/>
  <c r="H28" i="1"/>
  <c r="H192" i="1" s="1"/>
  <c r="H36" i="1"/>
  <c r="H200" i="1" s="1"/>
  <c r="H17" i="1"/>
  <c r="H181" i="1" s="1"/>
  <c r="H54" i="1"/>
  <c r="H218" i="1" s="1"/>
  <c r="H20" i="1"/>
  <c r="H184" i="1" s="1"/>
  <c r="H53" i="1"/>
  <c r="H217" i="1" s="1"/>
  <c r="H44" i="1"/>
  <c r="H208" i="1" s="1"/>
  <c r="H33" i="1"/>
  <c r="H197" i="1" s="1"/>
  <c r="H22" i="1"/>
  <c r="H186" i="1" s="1"/>
  <c r="H50" i="1"/>
  <c r="H214" i="1" s="1"/>
  <c r="H23" i="1"/>
  <c r="H187" i="1" s="1"/>
  <c r="H67" i="1"/>
  <c r="H231" i="1" s="1"/>
  <c r="H38" i="1"/>
  <c r="H202" i="1" s="1"/>
  <c r="H31" i="1"/>
  <c r="H195" i="1" s="1"/>
  <c r="H46" i="1"/>
  <c r="H210" i="1" s="1"/>
  <c r="H16" i="1"/>
  <c r="H180" i="1" s="1"/>
  <c r="H40" i="1"/>
  <c r="H204" i="1" s="1"/>
  <c r="H19" i="1"/>
  <c r="H183" i="1" s="1"/>
  <c r="H29" i="1"/>
  <c r="H193" i="1" s="1"/>
  <c r="H11" i="1"/>
  <c r="H56" i="1"/>
  <c r="H220" i="1" s="1"/>
  <c r="H30" i="1"/>
  <c r="H194" i="1" s="1"/>
  <c r="H12" i="1"/>
  <c r="H176" i="1" s="1"/>
  <c r="H48" i="1"/>
  <c r="H212" i="1" s="1"/>
  <c r="H13" i="1"/>
  <c r="H177" i="1" s="1"/>
  <c r="H26" i="1"/>
  <c r="H190" i="1" s="1"/>
  <c r="H18" i="1"/>
  <c r="H182" i="1" s="1"/>
  <c r="H42" i="1"/>
  <c r="H206" i="1" s="1"/>
  <c r="H27" i="1"/>
  <c r="H191" i="1" s="1"/>
  <c r="H24" i="1"/>
  <c r="H188" i="1" s="1"/>
  <c r="H35" i="1"/>
  <c r="H199" i="1" s="1"/>
  <c r="D25" i="1"/>
  <c r="D189" i="1" s="1"/>
  <c r="D42" i="1"/>
  <c r="D206" i="1" s="1"/>
  <c r="D17" i="1"/>
  <c r="D181" i="1" s="1"/>
  <c r="D48" i="1"/>
  <c r="D212" i="1" s="1"/>
  <c r="D20" i="1"/>
  <c r="D184" i="1" s="1"/>
  <c r="D53" i="1"/>
  <c r="D217" i="1" s="1"/>
  <c r="D23" i="1"/>
  <c r="D187" i="1" s="1"/>
  <c r="D44" i="1"/>
  <c r="D208" i="1" s="1"/>
  <c r="D32" i="1"/>
  <c r="D196" i="1" s="1"/>
  <c r="D14" i="1"/>
  <c r="D178" i="1" s="1"/>
  <c r="D30" i="1"/>
  <c r="D194" i="1" s="1"/>
  <c r="D69" i="1"/>
  <c r="D233" i="1" s="1"/>
  <c r="D38" i="1"/>
  <c r="D202" i="1" s="1"/>
  <c r="D31" i="1"/>
  <c r="D195" i="1" s="1"/>
  <c r="D36" i="1"/>
  <c r="D200" i="1" s="1"/>
  <c r="D16" i="1"/>
  <c r="D180" i="1" s="1"/>
  <c r="D46" i="1"/>
  <c r="D210" i="1" s="1"/>
  <c r="D19" i="1"/>
  <c r="D183" i="1" s="1"/>
  <c r="D18" i="1"/>
  <c r="D182" i="1" s="1"/>
  <c r="D66" i="1"/>
  <c r="D27" i="1"/>
  <c r="D191" i="1" s="1"/>
  <c r="D12" i="1"/>
  <c r="D176" i="1" s="1"/>
  <c r="D56" i="1"/>
  <c r="D220" i="1" s="1"/>
  <c r="D13" i="1"/>
  <c r="D177" i="1" s="1"/>
  <c r="D67" i="1"/>
  <c r="D231" i="1" s="1"/>
  <c r="D37" i="1"/>
  <c r="D201" i="1" s="1"/>
  <c r="D29" i="1"/>
  <c r="D193" i="1" s="1"/>
  <c r="D35" i="1"/>
  <c r="D199" i="1" s="1"/>
  <c r="D40" i="1"/>
  <c r="D204" i="1" s="1"/>
  <c r="D34" i="1"/>
  <c r="D198" i="1" s="1"/>
  <c r="D22" i="1"/>
  <c r="D186" i="1" s="1"/>
  <c r="D50" i="1"/>
  <c r="D214" i="1" s="1"/>
  <c r="D11" i="1"/>
  <c r="D49" i="1"/>
  <c r="D213" i="1" s="1"/>
  <c r="D41" i="1"/>
  <c r="D205" i="1" s="1"/>
  <c r="D64" i="1"/>
  <c r="D228" i="1" s="1"/>
  <c r="D39" i="1"/>
  <c r="D203" i="1" s="1"/>
  <c r="D21" i="1"/>
  <c r="D185" i="1" s="1"/>
  <c r="D24" i="1"/>
  <c r="D188" i="1" s="1"/>
  <c r="D26" i="1"/>
  <c r="D190" i="1" s="1"/>
  <c r="D33" i="1"/>
  <c r="D197" i="1" s="1"/>
  <c r="D54" i="1"/>
  <c r="D218" i="1" s="1"/>
  <c r="D28" i="1"/>
  <c r="D192" i="1" s="1"/>
  <c r="D10" i="1"/>
  <c r="L60" i="1" l="1"/>
  <c r="L59" i="1"/>
  <c r="L174" i="1"/>
  <c r="I60" i="1"/>
  <c r="I59" i="1"/>
  <c r="I174" i="1"/>
  <c r="G59" i="1"/>
  <c r="G174" i="1"/>
  <c r="G60" i="1"/>
  <c r="H174" i="1"/>
  <c r="H60" i="1"/>
  <c r="H59" i="1"/>
  <c r="E230" i="1"/>
  <c r="E229" i="1" s="1"/>
  <c r="E226" i="1" s="1"/>
  <c r="E65" i="1"/>
  <c r="E62" i="1" s="1"/>
  <c r="M175" i="1"/>
  <c r="M222" i="1" s="1"/>
  <c r="M58" i="1"/>
  <c r="F175" i="1"/>
  <c r="F222" i="1" s="1"/>
  <c r="F58" i="1"/>
  <c r="C58" i="1"/>
  <c r="C175" i="1"/>
  <c r="C222" i="1" s="1"/>
  <c r="K230" i="1"/>
  <c r="K229" i="1" s="1"/>
  <c r="K226" i="1" s="1"/>
  <c r="K65" i="1"/>
  <c r="K62" i="1" s="1"/>
  <c r="D174" i="1"/>
  <c r="D59" i="1"/>
  <c r="D60" i="1"/>
  <c r="D65" i="1"/>
  <c r="D62" i="1" s="1"/>
  <c r="D230" i="1"/>
  <c r="D229" i="1" s="1"/>
  <c r="L230" i="1"/>
  <c r="L229" i="1" s="1"/>
  <c r="L65" i="1"/>
  <c r="L62" i="1" s="1"/>
  <c r="H230" i="1"/>
  <c r="H229" i="1" s="1"/>
  <c r="H226" i="1" s="1"/>
  <c r="H65" i="1"/>
  <c r="H62" i="1" s="1"/>
  <c r="E60" i="1"/>
  <c r="E174" i="1"/>
  <c r="E59" i="1"/>
  <c r="I230" i="1"/>
  <c r="I229" i="1" s="1"/>
  <c r="I226" i="1" s="1"/>
  <c r="I65" i="1"/>
  <c r="I62" i="1" s="1"/>
  <c r="F60" i="1"/>
  <c r="F174" i="1"/>
  <c r="F59" i="1"/>
  <c r="J230" i="1"/>
  <c r="J229" i="1" s="1"/>
  <c r="J226" i="1" s="1"/>
  <c r="J65" i="1"/>
  <c r="J62" i="1" s="1"/>
  <c r="G58" i="1"/>
  <c r="G175" i="1"/>
  <c r="G222" i="1" s="1"/>
  <c r="K174" i="1"/>
  <c r="K59" i="1"/>
  <c r="K60" i="1"/>
  <c r="D226" i="1"/>
  <c r="L226" i="1"/>
  <c r="B59" i="1"/>
  <c r="B60" i="1"/>
  <c r="B174" i="1"/>
  <c r="F228" i="1"/>
  <c r="J60" i="1"/>
  <c r="J59" i="1"/>
  <c r="J174" i="1"/>
  <c r="J58" i="1"/>
  <c r="J175" i="1"/>
  <c r="J222" i="1" s="1"/>
  <c r="C59" i="1"/>
  <c r="C174" i="1"/>
  <c r="C60" i="1"/>
  <c r="C65" i="1"/>
  <c r="C62" i="1" s="1"/>
  <c r="C230" i="1"/>
  <c r="C229" i="1" s="1"/>
  <c r="C226" i="1" s="1"/>
  <c r="D58" i="1"/>
  <c r="D175" i="1"/>
  <c r="D222" i="1" s="1"/>
  <c r="H58" i="1"/>
  <c r="H175" i="1"/>
  <c r="H222" i="1" s="1"/>
  <c r="L58" i="1"/>
  <c r="L175" i="1"/>
  <c r="L222" i="1" s="1"/>
  <c r="E175" i="1"/>
  <c r="E222" i="1" s="1"/>
  <c r="E58" i="1"/>
  <c r="I175" i="1"/>
  <c r="I222" i="1" s="1"/>
  <c r="I58" i="1"/>
  <c r="M65" i="1"/>
  <c r="M62" i="1" s="1"/>
  <c r="M230" i="1"/>
  <c r="M229" i="1" s="1"/>
  <c r="M226" i="1" s="1"/>
  <c r="M59" i="1"/>
  <c r="M60" i="1"/>
  <c r="M174" i="1"/>
  <c r="B175" i="1"/>
  <c r="B222" i="1" s="1"/>
  <c r="B58" i="1"/>
  <c r="B230" i="1"/>
  <c r="B229" i="1" s="1"/>
  <c r="B226" i="1" s="1"/>
  <c r="B65" i="1"/>
  <c r="B62" i="1" s="1"/>
  <c r="F230" i="1"/>
  <c r="F229" i="1" s="1"/>
  <c r="F65" i="1"/>
  <c r="F62" i="1" s="1"/>
  <c r="G230" i="1"/>
  <c r="G229" i="1" s="1"/>
  <c r="G226" i="1" s="1"/>
  <c r="G65" i="1"/>
  <c r="G62" i="1" s="1"/>
  <c r="K58" i="1"/>
  <c r="K175" i="1"/>
  <c r="K222" i="1" s="1"/>
  <c r="M223" i="1" l="1"/>
  <c r="M224" i="1"/>
  <c r="D224" i="1"/>
  <c r="D223" i="1"/>
  <c r="F223" i="1"/>
  <c r="F224" i="1"/>
  <c r="H223" i="1"/>
  <c r="H224" i="1"/>
  <c r="L223" i="1"/>
  <c r="L224" i="1"/>
  <c r="C223" i="1"/>
  <c r="C224" i="1"/>
  <c r="J224" i="1"/>
  <c r="J223" i="1"/>
  <c r="F226" i="1"/>
  <c r="E223" i="1"/>
  <c r="E224" i="1"/>
  <c r="I224" i="1"/>
  <c r="I223" i="1"/>
  <c r="B223" i="1"/>
  <c r="B224" i="1"/>
  <c r="K223" i="1"/>
  <c r="K224" i="1"/>
  <c r="G224" i="1"/>
  <c r="G223" i="1"/>
</calcChain>
</file>

<file path=xl/sharedStrings.xml><?xml version="1.0" encoding="utf-8"?>
<sst xmlns="http://schemas.openxmlformats.org/spreadsheetml/2006/main" count="259" uniqueCount="72">
  <si>
    <t>Exchange rates (EC$ per G$)</t>
  </si>
  <si>
    <t>.</t>
  </si>
  <si>
    <t>GUYANA</t>
  </si>
  <si>
    <t>Summary of Central Government Operations</t>
  </si>
  <si>
    <t>Millions of Eastern Caribbean dollars (EC$ Mn.)</t>
  </si>
  <si>
    <t>ACCOUNTS</t>
  </si>
  <si>
    <t>TOTAL REVENUE AND GRANTS (1+2+3)</t>
  </si>
  <si>
    <t>1. Current Revenue</t>
  </si>
  <si>
    <t xml:space="preserve">    Tax Revenue</t>
  </si>
  <si>
    <t xml:space="preserve">        Taxes on Income and Profit</t>
  </si>
  <si>
    <r>
      <t xml:space="preserve">Companies </t>
    </r>
    <r>
      <rPr>
        <vertAlign val="superscript"/>
        <sz val="10"/>
        <rFont val="Arial MT"/>
      </rPr>
      <t>1/</t>
    </r>
  </si>
  <si>
    <t>Self-Employed</t>
  </si>
  <si>
    <t>Personal</t>
  </si>
  <si>
    <t>Surtax</t>
  </si>
  <si>
    <t>Other</t>
  </si>
  <si>
    <t xml:space="preserve">        Taxes on Property</t>
  </si>
  <si>
    <t>Property Tax</t>
  </si>
  <si>
    <t>Estate</t>
  </si>
  <si>
    <t xml:space="preserve">        Taxes on Production &amp; Consumption</t>
  </si>
  <si>
    <t>Consumption Taxes</t>
  </si>
  <si>
    <r>
      <t xml:space="preserve">Value Added Tax </t>
    </r>
    <r>
      <rPr>
        <vertAlign val="superscript"/>
        <sz val="10"/>
        <rFont val="Arial MT"/>
      </rPr>
      <t>2/</t>
    </r>
  </si>
  <si>
    <t>Excise Tax</t>
  </si>
  <si>
    <t xml:space="preserve">        Taxes on International Trade</t>
  </si>
  <si>
    <t>Import Duty</t>
  </si>
  <si>
    <t>Export Duty</t>
  </si>
  <si>
    <t>Travel Tax</t>
  </si>
  <si>
    <t xml:space="preserve">        Other Taxes</t>
  </si>
  <si>
    <t>Entertainment Tax</t>
  </si>
  <si>
    <t>Purchase Tax-M.Car.</t>
  </si>
  <si>
    <r>
      <t xml:space="preserve">Other Taxes And Duties </t>
    </r>
    <r>
      <rPr>
        <vertAlign val="superscript"/>
        <sz val="10"/>
        <rFont val="Arial MT"/>
      </rPr>
      <t>3/</t>
    </r>
  </si>
  <si>
    <t>Licences Vehicles</t>
  </si>
  <si>
    <t>Licences Other/Fees, Premium &amp; ND Surtax</t>
  </si>
  <si>
    <r>
      <t xml:space="preserve">Environmental Tax/Levy </t>
    </r>
    <r>
      <rPr>
        <vertAlign val="superscript"/>
        <sz val="10"/>
        <rFont val="Arial MT"/>
      </rPr>
      <t>4/</t>
    </r>
  </si>
  <si>
    <t>Capital Gains</t>
  </si>
  <si>
    <t>Excise Duty</t>
  </si>
  <si>
    <r>
      <t xml:space="preserve">    Non-Tax Revenue </t>
    </r>
    <r>
      <rPr>
        <b/>
        <vertAlign val="superscript"/>
        <sz val="10"/>
        <rFont val="Arial MT"/>
      </rPr>
      <t>5/</t>
    </r>
  </si>
  <si>
    <r>
      <t xml:space="preserve">Guyana REDD Plus Investment Fund Inflows </t>
    </r>
    <r>
      <rPr>
        <b/>
        <vertAlign val="superscript"/>
        <sz val="10"/>
        <rFont val="Arial MT"/>
      </rPr>
      <t>6/</t>
    </r>
  </si>
  <si>
    <r>
      <t xml:space="preserve">National Resource Fund (NRF) </t>
    </r>
    <r>
      <rPr>
        <b/>
        <vertAlign val="superscript"/>
        <sz val="10"/>
        <rFont val="Arial MT"/>
      </rPr>
      <t>7/</t>
    </r>
  </si>
  <si>
    <r>
      <t xml:space="preserve">Carbon Credit Sales </t>
    </r>
    <r>
      <rPr>
        <b/>
        <vertAlign val="superscript"/>
        <sz val="10"/>
        <rFont val="Arial MT"/>
      </rPr>
      <t>8/</t>
    </r>
  </si>
  <si>
    <t>2. Capital Revenue</t>
  </si>
  <si>
    <t>3. External Grants</t>
  </si>
  <si>
    <t>TOTAL EXPENDITURE AND NET LENDING (4+5)</t>
  </si>
  <si>
    <t>4. Recurrent Expenditure</t>
  </si>
  <si>
    <t xml:space="preserve">    Personal Emoluments</t>
  </si>
  <si>
    <t xml:space="preserve">    Goods and Services</t>
  </si>
  <si>
    <t>…</t>
  </si>
  <si>
    <t xml:space="preserve">    Transfers</t>
  </si>
  <si>
    <r>
      <t xml:space="preserve">    Interest Payments </t>
    </r>
    <r>
      <rPr>
        <vertAlign val="superscript"/>
        <sz val="10"/>
        <rFont val="Arial MT"/>
      </rPr>
      <t>9/</t>
    </r>
  </si>
  <si>
    <t xml:space="preserve">    Other</t>
  </si>
  <si>
    <t xml:space="preserve">5. Capital Expenditure </t>
  </si>
  <si>
    <t>CURRENT ACCOUNT BALANCE (1-4)</t>
  </si>
  <si>
    <t>PRIMARY BALANCE</t>
  </si>
  <si>
    <t>OVERALL BALANCE</t>
  </si>
  <si>
    <t>FINANCING</t>
  </si>
  <si>
    <t xml:space="preserve">    External (Net)</t>
  </si>
  <si>
    <t xml:space="preserve">    Domestic (Net)</t>
  </si>
  <si>
    <t xml:space="preserve">        Banking System</t>
  </si>
  <si>
    <t xml:space="preserve">        Non-Bank Borrowing</t>
  </si>
  <si>
    <t>Notes:</t>
  </si>
  <si>
    <t>1/  As of 2003, Companies Income Tax includes self-employed, corporation and withholding income taxes.</t>
  </si>
  <si>
    <t>2/  The Value Added Tax (VAT) and the Excise Tax were implemented on January 01, 2007.</t>
  </si>
  <si>
    <t>3/  Refers to Debt Charges</t>
  </si>
  <si>
    <t>4/  An Environmental Levy was implemented on 1 February 2017</t>
  </si>
  <si>
    <t>5/  Includes GRIF inflows as follows- G$Mn. 838.9 (2012), 833.3 (2013), 1014.4 (2014)</t>
  </si>
  <si>
    <t>6/Guyama REDD Plus Investment Fund Inflows were excluded from Total Non-Tax Revenue with effect Dec-2012.</t>
  </si>
  <si>
    <t>7) Natural Resource Fund (NRF) Withdrawl represents local currency amount withdrawn from the NRF &amp; transferred to Central Government. from March 2023.</t>
  </si>
  <si>
    <t xml:space="preserve">8) Carbon Credit Sales included </t>
  </si>
  <si>
    <t>9/  Refers to Debt Charges</t>
  </si>
  <si>
    <t>Millions of Guyana dollars</t>
  </si>
  <si>
    <t>Source:</t>
  </si>
  <si>
    <t>Statistical Bulletins (Bank of Guyana)</t>
  </si>
  <si>
    <t>Millions of United States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</si>
</sst>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000"/>
    <numFmt numFmtId="165" formatCode="0.000"/>
    <numFmt numFmtId="166" formatCode="#,##0.0"/>
    <numFmt numFmtId="167" formatCode="_(* #,##0.0_);_(* \(#,##0.0\);_(* &quot;-&quot;??_);_(@_)"/>
    <numFmt numFmtId="168" formatCode="_(* #,##0.0_);_(* \(#,##0.0\);_(* &quot;-&quot;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MT"/>
    </font>
    <font>
      <sz val="10"/>
      <name val="Arial MT"/>
    </font>
    <font>
      <b/>
      <sz val="10"/>
      <color theme="1"/>
      <name val="Arial"/>
      <family val="2"/>
    </font>
    <font>
      <b/>
      <sz val="10"/>
      <name val="Arial MT"/>
    </font>
    <font>
      <i/>
      <sz val="10"/>
      <name val="Arial MT"/>
    </font>
    <font>
      <vertAlign val="superscript"/>
      <sz val="10"/>
      <name val="Arial MT"/>
    </font>
    <font>
      <sz val="10"/>
      <name val="Arial"/>
      <family val="2"/>
    </font>
    <font>
      <b/>
      <vertAlign val="superscript"/>
      <sz val="10"/>
      <name val="Arial MT"/>
    </font>
    <font>
      <b/>
      <sz val="10"/>
      <color indexed="8"/>
      <name val="Arial"/>
      <family val="2"/>
    </font>
    <font>
      <b/>
      <i/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2" applyFont="1"/>
    <xf numFmtId="164" fontId="3" fillId="0" borderId="0" xfId="2" applyNumberFormat="1" applyFont="1"/>
    <xf numFmtId="165" fontId="3" fillId="0" borderId="0" xfId="2" applyNumberFormat="1" applyFont="1"/>
    <xf numFmtId="14" fontId="4" fillId="0" borderId="0" xfId="0" applyNumberFormat="1" applyFont="1" applyFill="1" applyAlignment="1">
      <alignment horizontal="left"/>
    </xf>
    <xf numFmtId="14" fontId="4" fillId="0" borderId="0" xfId="0" applyNumberFormat="1" applyFont="1" applyAlignment="1">
      <alignment horizontal="left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3" fillId="0" borderId="0" xfId="2" applyFont="1" applyBorder="1"/>
    <xf numFmtId="0" fontId="5" fillId="0" borderId="0" xfId="2" applyFont="1" applyBorder="1"/>
    <xf numFmtId="167" fontId="5" fillId="0" borderId="0" xfId="2" applyNumberFormat="1" applyFont="1" applyBorder="1"/>
    <xf numFmtId="0" fontId="5" fillId="0" borderId="0" xfId="2" applyFont="1" applyBorder="1" applyAlignment="1">
      <alignment horizontal="left" indent="1"/>
    </xf>
    <xf numFmtId="167" fontId="5" fillId="0" borderId="0" xfId="2" applyNumberFormat="1" applyFont="1" applyFill="1" applyBorder="1"/>
    <xf numFmtId="0" fontId="5" fillId="0" borderId="0" xfId="2" applyFont="1" applyBorder="1" applyAlignment="1">
      <alignment horizontal="left" indent="2"/>
    </xf>
    <xf numFmtId="0" fontId="6" fillId="0" borderId="0" xfId="2" applyFont="1" applyBorder="1" applyAlignment="1">
      <alignment horizontal="left" indent="2"/>
    </xf>
    <xf numFmtId="167" fontId="6" fillId="0" borderId="0" xfId="2" applyNumberFormat="1" applyFont="1" applyBorder="1"/>
    <xf numFmtId="0" fontId="3" fillId="0" borderId="0" xfId="2" applyFont="1" applyBorder="1" applyAlignment="1">
      <alignment horizontal="left" indent="7"/>
    </xf>
    <xf numFmtId="167" fontId="3" fillId="0" borderId="0" xfId="2" applyNumberFormat="1" applyFont="1" applyBorder="1"/>
    <xf numFmtId="167" fontId="3" fillId="0" borderId="0" xfId="2" applyNumberFormat="1" applyFont="1" applyFill="1" applyBorder="1"/>
    <xf numFmtId="167" fontId="3" fillId="2" borderId="0" xfId="2" applyNumberFormat="1" applyFont="1" applyFill="1" applyBorder="1" applyAlignment="1">
      <alignment horizontal="right"/>
    </xf>
    <xf numFmtId="167" fontId="3" fillId="0" borderId="0" xfId="2" applyNumberFormat="1" applyFont="1" applyBorder="1" applyAlignment="1">
      <alignment horizontal="right"/>
    </xf>
    <xf numFmtId="167" fontId="3" fillId="0" borderId="0" xfId="2" applyNumberFormat="1" applyFont="1" applyFill="1" applyBorder="1" applyAlignment="1">
      <alignment horizontal="right"/>
    </xf>
    <xf numFmtId="0" fontId="3" fillId="0" borderId="0" xfId="2" applyFont="1" applyBorder="1" applyAlignment="1">
      <alignment horizontal="left" indent="8"/>
    </xf>
    <xf numFmtId="167" fontId="3" fillId="0" borderId="0" xfId="2" applyNumberFormat="1" applyFont="1" applyFill="1"/>
    <xf numFmtId="167" fontId="3" fillId="0" borderId="0" xfId="2" applyNumberFormat="1" applyFont="1"/>
    <xf numFmtId="167" fontId="6" fillId="0" borderId="0" xfId="2" applyNumberFormat="1" applyFont="1" applyFill="1" applyBorder="1"/>
    <xf numFmtId="167" fontId="6" fillId="0" borderId="0" xfId="2" applyNumberFormat="1" applyFont="1"/>
    <xf numFmtId="167" fontId="6" fillId="0" borderId="0" xfId="2" applyNumberFormat="1" applyFont="1" applyFill="1"/>
    <xf numFmtId="167" fontId="3" fillId="0" borderId="0" xfId="3" applyNumberFormat="1" applyFont="1" applyAlignment="1">
      <alignment horizontal="right"/>
    </xf>
    <xf numFmtId="0" fontId="5" fillId="0" borderId="0" xfId="2" applyFont="1" applyBorder="1" applyAlignment="1">
      <alignment horizontal="left" indent="4"/>
    </xf>
    <xf numFmtId="0" fontId="3" fillId="0" borderId="0" xfId="2" applyFont="1" applyBorder="1" applyAlignment="1">
      <alignment horizontal="left" indent="1"/>
    </xf>
    <xf numFmtId="167" fontId="5" fillId="0" borderId="0" xfId="2" applyNumberFormat="1" applyFont="1"/>
    <xf numFmtId="167" fontId="5" fillId="0" borderId="0" xfId="2" applyNumberFormat="1" applyFont="1" applyFill="1"/>
    <xf numFmtId="0" fontId="3" fillId="0" borderId="0" xfId="2" applyFont="1" applyBorder="1" applyAlignment="1">
      <alignment horizontal="left" indent="3"/>
    </xf>
    <xf numFmtId="0" fontId="4" fillId="0" borderId="0" xfId="0" applyFont="1" applyBorder="1"/>
    <xf numFmtId="167" fontId="4" fillId="0" borderId="0" xfId="1" applyNumberFormat="1" applyFont="1" applyFill="1" applyBorder="1"/>
    <xf numFmtId="167" fontId="10" fillId="0" borderId="0" xfId="3" applyNumberFormat="1" applyFont="1" applyFill="1" applyAlignment="1">
      <alignment horizontal="right"/>
    </xf>
    <xf numFmtId="0" fontId="6" fillId="0" borderId="0" xfId="2" applyFont="1" applyBorder="1"/>
    <xf numFmtId="167" fontId="3" fillId="0" borderId="0" xfId="2" applyNumberFormat="1" applyFont="1" applyAlignment="1">
      <alignment horizontal="right"/>
    </xf>
    <xf numFmtId="0" fontId="3" fillId="0" borderId="2" xfId="2" applyFont="1" applyBorder="1"/>
    <xf numFmtId="166" fontId="3" fillId="0" borderId="2" xfId="2" applyNumberFormat="1" applyFont="1" applyBorder="1"/>
    <xf numFmtId="0" fontId="11" fillId="0" borderId="0" xfId="2" applyFont="1" applyAlignment="1"/>
    <xf numFmtId="0" fontId="3" fillId="0" borderId="0" xfId="2" applyFont="1" applyAlignment="1">
      <alignment vertical="center"/>
    </xf>
    <xf numFmtId="0" fontId="5" fillId="0" borderId="0" xfId="2" applyFont="1"/>
    <xf numFmtId="0" fontId="5" fillId="0" borderId="0" xfId="2" applyFont="1" applyBorder="1" applyAlignment="1">
      <alignment horizontal="left" indent="3"/>
    </xf>
    <xf numFmtId="0" fontId="6" fillId="0" borderId="0" xfId="2" applyFont="1" applyBorder="1" applyAlignment="1">
      <alignment horizontal="left" indent="3"/>
    </xf>
    <xf numFmtId="0" fontId="6" fillId="0" borderId="0" xfId="2" applyFont="1"/>
    <xf numFmtId="0" fontId="3" fillId="0" borderId="0" xfId="2" applyFont="1" applyBorder="1" applyAlignment="1">
      <alignment horizontal="left" indent="9"/>
    </xf>
    <xf numFmtId="167" fontId="3" fillId="0" borderId="0" xfId="1" applyNumberFormat="1" applyFont="1"/>
    <xf numFmtId="168" fontId="3" fillId="0" borderId="0" xfId="2" applyNumberFormat="1" applyFont="1"/>
    <xf numFmtId="0" fontId="11" fillId="0" borderId="0" xfId="2" applyFont="1"/>
  </cellXfs>
  <cellStyles count="4">
    <cellStyle name="Comma" xfId="1" builtinId="3"/>
    <cellStyle name="Comma 2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246"/>
  <sheetViews>
    <sheetView tabSelected="1" showRuler="0" topLeftCell="A2" zoomScaleNormal="100" workbookViewId="0">
      <selection activeCell="B11" sqref="B11"/>
    </sheetView>
  </sheetViews>
  <sheetFormatPr defaultColWidth="12.5703125" defaultRowHeight="12.75"/>
  <cols>
    <col min="1" max="1" width="48.5703125" style="1" customWidth="1"/>
    <col min="2" max="11" width="10.85546875" style="1" customWidth="1"/>
    <col min="12" max="12" width="11.28515625" style="1" customWidth="1"/>
    <col min="13" max="13" width="12" style="1" customWidth="1"/>
    <col min="14" max="135" width="12.5703125" style="1"/>
    <col min="136" max="136" width="42.5703125" style="1" customWidth="1"/>
    <col min="137" max="137" width="9" style="1" customWidth="1"/>
    <col min="138" max="138" width="10.28515625" style="1" customWidth="1"/>
    <col min="139" max="139" width="10.42578125" style="1" customWidth="1"/>
    <col min="140" max="158" width="10" style="1" customWidth="1"/>
    <col min="159" max="165" width="9.7109375" style="1" customWidth="1"/>
    <col min="166" max="171" width="12.5703125" style="1"/>
    <col min="172" max="172" width="44.7109375" style="1" customWidth="1"/>
    <col min="173" max="176" width="7.42578125" style="1" customWidth="1"/>
    <col min="177" max="177" width="7.5703125" style="1" customWidth="1"/>
    <col min="178" max="179" width="7.42578125" style="1" customWidth="1"/>
    <col min="180" max="181" width="9" style="1" bestFit="1" customWidth="1"/>
    <col min="182" max="182" width="9.42578125" style="1" customWidth="1"/>
    <col min="183" max="183" width="9.28515625" style="1" customWidth="1"/>
    <col min="184" max="184" width="9.85546875" style="1" customWidth="1"/>
    <col min="185" max="189" width="7.42578125" style="1" customWidth="1"/>
    <col min="190" max="190" width="7.85546875" style="1" bestFit="1" customWidth="1"/>
    <col min="191" max="191" width="7.42578125" style="1" customWidth="1"/>
    <col min="192" max="192" width="8.28515625" style="1" bestFit="1" customWidth="1"/>
    <col min="193" max="193" width="8.7109375" style="1" customWidth="1"/>
    <col min="194" max="194" width="8.5703125" style="1" customWidth="1"/>
    <col min="195" max="207" width="8.7109375" style="1" customWidth="1"/>
    <col min="208" max="208" width="12.5703125" style="1"/>
    <col min="209" max="209" width="45.85546875" style="1" customWidth="1"/>
    <col min="210" max="211" width="10.85546875" style="1" customWidth="1"/>
    <col min="212" max="240" width="9" style="1" customWidth="1"/>
    <col min="241" max="391" width="12.5703125" style="1"/>
    <col min="392" max="392" width="42.5703125" style="1" customWidth="1"/>
    <col min="393" max="393" width="9" style="1" customWidth="1"/>
    <col min="394" max="394" width="10.28515625" style="1" customWidth="1"/>
    <col min="395" max="395" width="10.42578125" style="1" customWidth="1"/>
    <col min="396" max="414" width="10" style="1" customWidth="1"/>
    <col min="415" max="421" width="9.7109375" style="1" customWidth="1"/>
    <col min="422" max="427" width="12.5703125" style="1"/>
    <col min="428" max="428" width="44.7109375" style="1" customWidth="1"/>
    <col min="429" max="432" width="7.42578125" style="1" customWidth="1"/>
    <col min="433" max="433" width="7.5703125" style="1" customWidth="1"/>
    <col min="434" max="435" width="7.42578125" style="1" customWidth="1"/>
    <col min="436" max="437" width="9" style="1" bestFit="1" customWidth="1"/>
    <col min="438" max="438" width="9.42578125" style="1" customWidth="1"/>
    <col min="439" max="439" width="9.28515625" style="1" customWidth="1"/>
    <col min="440" max="440" width="9.85546875" style="1" customWidth="1"/>
    <col min="441" max="445" width="7.42578125" style="1" customWidth="1"/>
    <col min="446" max="446" width="7.85546875" style="1" bestFit="1" customWidth="1"/>
    <col min="447" max="447" width="7.42578125" style="1" customWidth="1"/>
    <col min="448" max="448" width="8.28515625" style="1" bestFit="1" customWidth="1"/>
    <col min="449" max="449" width="8.7109375" style="1" customWidth="1"/>
    <col min="450" max="450" width="8.5703125" style="1" customWidth="1"/>
    <col min="451" max="463" width="8.7109375" style="1" customWidth="1"/>
    <col min="464" max="464" width="12.5703125" style="1"/>
    <col min="465" max="465" width="45.85546875" style="1" customWidth="1"/>
    <col min="466" max="467" width="10.85546875" style="1" customWidth="1"/>
    <col min="468" max="496" width="9" style="1" customWidth="1"/>
    <col min="497" max="647" width="12.5703125" style="1"/>
    <col min="648" max="648" width="42.5703125" style="1" customWidth="1"/>
    <col min="649" max="649" width="9" style="1" customWidth="1"/>
    <col min="650" max="650" width="10.28515625" style="1" customWidth="1"/>
    <col min="651" max="651" width="10.42578125" style="1" customWidth="1"/>
    <col min="652" max="670" width="10" style="1" customWidth="1"/>
    <col min="671" max="677" width="9.7109375" style="1" customWidth="1"/>
    <col min="678" max="683" width="12.5703125" style="1"/>
    <col min="684" max="684" width="44.7109375" style="1" customWidth="1"/>
    <col min="685" max="688" width="7.42578125" style="1" customWidth="1"/>
    <col min="689" max="689" width="7.5703125" style="1" customWidth="1"/>
    <col min="690" max="691" width="7.42578125" style="1" customWidth="1"/>
    <col min="692" max="693" width="9" style="1" bestFit="1" customWidth="1"/>
    <col min="694" max="694" width="9.42578125" style="1" customWidth="1"/>
    <col min="695" max="695" width="9.28515625" style="1" customWidth="1"/>
    <col min="696" max="696" width="9.85546875" style="1" customWidth="1"/>
    <col min="697" max="701" width="7.42578125" style="1" customWidth="1"/>
    <col min="702" max="702" width="7.85546875" style="1" bestFit="1" customWidth="1"/>
    <col min="703" max="703" width="7.42578125" style="1" customWidth="1"/>
    <col min="704" max="704" width="8.28515625" style="1" bestFit="1" customWidth="1"/>
    <col min="705" max="705" width="8.7109375" style="1" customWidth="1"/>
    <col min="706" max="706" width="8.5703125" style="1" customWidth="1"/>
    <col min="707" max="719" width="8.7109375" style="1" customWidth="1"/>
    <col min="720" max="720" width="12.5703125" style="1"/>
    <col min="721" max="721" width="45.85546875" style="1" customWidth="1"/>
    <col min="722" max="723" width="10.85546875" style="1" customWidth="1"/>
    <col min="724" max="752" width="9" style="1" customWidth="1"/>
    <col min="753" max="903" width="12.5703125" style="1"/>
    <col min="904" max="904" width="42.5703125" style="1" customWidth="1"/>
    <col min="905" max="905" width="9" style="1" customWidth="1"/>
    <col min="906" max="906" width="10.28515625" style="1" customWidth="1"/>
    <col min="907" max="907" width="10.42578125" style="1" customWidth="1"/>
    <col min="908" max="926" width="10" style="1" customWidth="1"/>
    <col min="927" max="933" width="9.7109375" style="1" customWidth="1"/>
    <col min="934" max="939" width="12.5703125" style="1"/>
    <col min="940" max="940" width="44.7109375" style="1" customWidth="1"/>
    <col min="941" max="944" width="7.42578125" style="1" customWidth="1"/>
    <col min="945" max="945" width="7.5703125" style="1" customWidth="1"/>
    <col min="946" max="947" width="7.42578125" style="1" customWidth="1"/>
    <col min="948" max="949" width="9" style="1" bestFit="1" customWidth="1"/>
    <col min="950" max="950" width="9.42578125" style="1" customWidth="1"/>
    <col min="951" max="951" width="9.28515625" style="1" customWidth="1"/>
    <col min="952" max="952" width="9.85546875" style="1" customWidth="1"/>
    <col min="953" max="957" width="7.42578125" style="1" customWidth="1"/>
    <col min="958" max="958" width="7.85546875" style="1" bestFit="1" customWidth="1"/>
    <col min="959" max="959" width="7.42578125" style="1" customWidth="1"/>
    <col min="960" max="960" width="8.28515625" style="1" bestFit="1" customWidth="1"/>
    <col min="961" max="961" width="8.7109375" style="1" customWidth="1"/>
    <col min="962" max="962" width="8.5703125" style="1" customWidth="1"/>
    <col min="963" max="975" width="8.7109375" style="1" customWidth="1"/>
    <col min="976" max="976" width="12.5703125" style="1"/>
    <col min="977" max="977" width="45.85546875" style="1" customWidth="1"/>
    <col min="978" max="979" width="10.85546875" style="1" customWidth="1"/>
    <col min="980" max="1008" width="9" style="1" customWidth="1"/>
    <col min="1009" max="1159" width="12.5703125" style="1"/>
    <col min="1160" max="1160" width="42.5703125" style="1" customWidth="1"/>
    <col min="1161" max="1161" width="9" style="1" customWidth="1"/>
    <col min="1162" max="1162" width="10.28515625" style="1" customWidth="1"/>
    <col min="1163" max="1163" width="10.42578125" style="1" customWidth="1"/>
    <col min="1164" max="1182" width="10" style="1" customWidth="1"/>
    <col min="1183" max="1189" width="9.7109375" style="1" customWidth="1"/>
    <col min="1190" max="1195" width="12.5703125" style="1"/>
    <col min="1196" max="1196" width="44.7109375" style="1" customWidth="1"/>
    <col min="1197" max="1200" width="7.42578125" style="1" customWidth="1"/>
    <col min="1201" max="1201" width="7.5703125" style="1" customWidth="1"/>
    <col min="1202" max="1203" width="7.42578125" style="1" customWidth="1"/>
    <col min="1204" max="1205" width="9" style="1" bestFit="1" customWidth="1"/>
    <col min="1206" max="1206" width="9.42578125" style="1" customWidth="1"/>
    <col min="1207" max="1207" width="9.28515625" style="1" customWidth="1"/>
    <col min="1208" max="1208" width="9.85546875" style="1" customWidth="1"/>
    <col min="1209" max="1213" width="7.42578125" style="1" customWidth="1"/>
    <col min="1214" max="1214" width="7.85546875" style="1" bestFit="1" customWidth="1"/>
    <col min="1215" max="1215" width="7.42578125" style="1" customWidth="1"/>
    <col min="1216" max="1216" width="8.28515625" style="1" bestFit="1" customWidth="1"/>
    <col min="1217" max="1217" width="8.7109375" style="1" customWidth="1"/>
    <col min="1218" max="1218" width="8.5703125" style="1" customWidth="1"/>
    <col min="1219" max="1231" width="8.7109375" style="1" customWidth="1"/>
    <col min="1232" max="1232" width="12.5703125" style="1"/>
    <col min="1233" max="1233" width="45.85546875" style="1" customWidth="1"/>
    <col min="1234" max="1235" width="10.85546875" style="1" customWidth="1"/>
    <col min="1236" max="1264" width="9" style="1" customWidth="1"/>
    <col min="1265" max="1415" width="12.5703125" style="1"/>
    <col min="1416" max="1416" width="42.5703125" style="1" customWidth="1"/>
    <col min="1417" max="1417" width="9" style="1" customWidth="1"/>
    <col min="1418" max="1418" width="10.28515625" style="1" customWidth="1"/>
    <col min="1419" max="1419" width="10.42578125" style="1" customWidth="1"/>
    <col min="1420" max="1438" width="10" style="1" customWidth="1"/>
    <col min="1439" max="1445" width="9.7109375" style="1" customWidth="1"/>
    <col min="1446" max="1451" width="12.5703125" style="1"/>
    <col min="1452" max="1452" width="44.7109375" style="1" customWidth="1"/>
    <col min="1453" max="1456" width="7.42578125" style="1" customWidth="1"/>
    <col min="1457" max="1457" width="7.5703125" style="1" customWidth="1"/>
    <col min="1458" max="1459" width="7.42578125" style="1" customWidth="1"/>
    <col min="1460" max="1461" width="9" style="1" bestFit="1" customWidth="1"/>
    <col min="1462" max="1462" width="9.42578125" style="1" customWidth="1"/>
    <col min="1463" max="1463" width="9.28515625" style="1" customWidth="1"/>
    <col min="1464" max="1464" width="9.85546875" style="1" customWidth="1"/>
    <col min="1465" max="1469" width="7.42578125" style="1" customWidth="1"/>
    <col min="1470" max="1470" width="7.85546875" style="1" bestFit="1" customWidth="1"/>
    <col min="1471" max="1471" width="7.42578125" style="1" customWidth="1"/>
    <col min="1472" max="1472" width="8.28515625" style="1" bestFit="1" customWidth="1"/>
    <col min="1473" max="1473" width="8.7109375" style="1" customWidth="1"/>
    <col min="1474" max="1474" width="8.5703125" style="1" customWidth="1"/>
    <col min="1475" max="1487" width="8.7109375" style="1" customWidth="1"/>
    <col min="1488" max="1488" width="12.5703125" style="1"/>
    <col min="1489" max="1489" width="45.85546875" style="1" customWidth="1"/>
    <col min="1490" max="1491" width="10.85546875" style="1" customWidth="1"/>
    <col min="1492" max="1520" width="9" style="1" customWidth="1"/>
    <col min="1521" max="1671" width="12.5703125" style="1"/>
    <col min="1672" max="1672" width="42.5703125" style="1" customWidth="1"/>
    <col min="1673" max="1673" width="9" style="1" customWidth="1"/>
    <col min="1674" max="1674" width="10.28515625" style="1" customWidth="1"/>
    <col min="1675" max="1675" width="10.42578125" style="1" customWidth="1"/>
    <col min="1676" max="1694" width="10" style="1" customWidth="1"/>
    <col min="1695" max="1701" width="9.7109375" style="1" customWidth="1"/>
    <col min="1702" max="1707" width="12.5703125" style="1"/>
    <col min="1708" max="1708" width="44.7109375" style="1" customWidth="1"/>
    <col min="1709" max="1712" width="7.42578125" style="1" customWidth="1"/>
    <col min="1713" max="1713" width="7.5703125" style="1" customWidth="1"/>
    <col min="1714" max="1715" width="7.42578125" style="1" customWidth="1"/>
    <col min="1716" max="1717" width="9" style="1" bestFit="1" customWidth="1"/>
    <col min="1718" max="1718" width="9.42578125" style="1" customWidth="1"/>
    <col min="1719" max="1719" width="9.28515625" style="1" customWidth="1"/>
    <col min="1720" max="1720" width="9.85546875" style="1" customWidth="1"/>
    <col min="1721" max="1725" width="7.42578125" style="1" customWidth="1"/>
    <col min="1726" max="1726" width="7.85546875" style="1" bestFit="1" customWidth="1"/>
    <col min="1727" max="1727" width="7.42578125" style="1" customWidth="1"/>
    <col min="1728" max="1728" width="8.28515625" style="1" bestFit="1" customWidth="1"/>
    <col min="1729" max="1729" width="8.7109375" style="1" customWidth="1"/>
    <col min="1730" max="1730" width="8.5703125" style="1" customWidth="1"/>
    <col min="1731" max="1743" width="8.7109375" style="1" customWidth="1"/>
    <col min="1744" max="1744" width="12.5703125" style="1"/>
    <col min="1745" max="1745" width="45.85546875" style="1" customWidth="1"/>
    <col min="1746" max="1747" width="10.85546875" style="1" customWidth="1"/>
    <col min="1748" max="1776" width="9" style="1" customWidth="1"/>
    <col min="1777" max="1927" width="12.5703125" style="1"/>
    <col min="1928" max="1928" width="42.5703125" style="1" customWidth="1"/>
    <col min="1929" max="1929" width="9" style="1" customWidth="1"/>
    <col min="1930" max="1930" width="10.28515625" style="1" customWidth="1"/>
    <col min="1931" max="1931" width="10.42578125" style="1" customWidth="1"/>
    <col min="1932" max="1950" width="10" style="1" customWidth="1"/>
    <col min="1951" max="1957" width="9.7109375" style="1" customWidth="1"/>
    <col min="1958" max="1963" width="12.5703125" style="1"/>
    <col min="1964" max="1964" width="44.7109375" style="1" customWidth="1"/>
    <col min="1965" max="1968" width="7.42578125" style="1" customWidth="1"/>
    <col min="1969" max="1969" width="7.5703125" style="1" customWidth="1"/>
    <col min="1970" max="1971" width="7.42578125" style="1" customWidth="1"/>
    <col min="1972" max="1973" width="9" style="1" bestFit="1" customWidth="1"/>
    <col min="1974" max="1974" width="9.42578125" style="1" customWidth="1"/>
    <col min="1975" max="1975" width="9.28515625" style="1" customWidth="1"/>
    <col min="1976" max="1976" width="9.85546875" style="1" customWidth="1"/>
    <col min="1977" max="1981" width="7.42578125" style="1" customWidth="1"/>
    <col min="1982" max="1982" width="7.85546875" style="1" bestFit="1" customWidth="1"/>
    <col min="1983" max="1983" width="7.42578125" style="1" customWidth="1"/>
    <col min="1984" max="1984" width="8.28515625" style="1" bestFit="1" customWidth="1"/>
    <col min="1985" max="1985" width="8.7109375" style="1" customWidth="1"/>
    <col min="1986" max="1986" width="8.5703125" style="1" customWidth="1"/>
    <col min="1987" max="1999" width="8.7109375" style="1" customWidth="1"/>
    <col min="2000" max="2000" width="12.5703125" style="1"/>
    <col min="2001" max="2001" width="45.85546875" style="1" customWidth="1"/>
    <col min="2002" max="2003" width="10.85546875" style="1" customWidth="1"/>
    <col min="2004" max="2032" width="9" style="1" customWidth="1"/>
    <col min="2033" max="2183" width="12.5703125" style="1"/>
    <col min="2184" max="2184" width="42.5703125" style="1" customWidth="1"/>
    <col min="2185" max="2185" width="9" style="1" customWidth="1"/>
    <col min="2186" max="2186" width="10.28515625" style="1" customWidth="1"/>
    <col min="2187" max="2187" width="10.42578125" style="1" customWidth="1"/>
    <col min="2188" max="2206" width="10" style="1" customWidth="1"/>
    <col min="2207" max="2213" width="9.7109375" style="1" customWidth="1"/>
    <col min="2214" max="2219" width="12.5703125" style="1"/>
    <col min="2220" max="2220" width="44.7109375" style="1" customWidth="1"/>
    <col min="2221" max="2224" width="7.42578125" style="1" customWidth="1"/>
    <col min="2225" max="2225" width="7.5703125" style="1" customWidth="1"/>
    <col min="2226" max="2227" width="7.42578125" style="1" customWidth="1"/>
    <col min="2228" max="2229" width="9" style="1" bestFit="1" customWidth="1"/>
    <col min="2230" max="2230" width="9.42578125" style="1" customWidth="1"/>
    <col min="2231" max="2231" width="9.28515625" style="1" customWidth="1"/>
    <col min="2232" max="2232" width="9.85546875" style="1" customWidth="1"/>
    <col min="2233" max="2237" width="7.42578125" style="1" customWidth="1"/>
    <col min="2238" max="2238" width="7.85546875" style="1" bestFit="1" customWidth="1"/>
    <col min="2239" max="2239" width="7.42578125" style="1" customWidth="1"/>
    <col min="2240" max="2240" width="8.28515625" style="1" bestFit="1" customWidth="1"/>
    <col min="2241" max="2241" width="8.7109375" style="1" customWidth="1"/>
    <col min="2242" max="2242" width="8.5703125" style="1" customWidth="1"/>
    <col min="2243" max="2255" width="8.7109375" style="1" customWidth="1"/>
    <col min="2256" max="2256" width="12.5703125" style="1"/>
    <col min="2257" max="2257" width="45.85546875" style="1" customWidth="1"/>
    <col min="2258" max="2259" width="10.85546875" style="1" customWidth="1"/>
    <col min="2260" max="2288" width="9" style="1" customWidth="1"/>
    <col min="2289" max="2439" width="12.5703125" style="1"/>
    <col min="2440" max="2440" width="42.5703125" style="1" customWidth="1"/>
    <col min="2441" max="2441" width="9" style="1" customWidth="1"/>
    <col min="2442" max="2442" width="10.28515625" style="1" customWidth="1"/>
    <col min="2443" max="2443" width="10.42578125" style="1" customWidth="1"/>
    <col min="2444" max="2462" width="10" style="1" customWidth="1"/>
    <col min="2463" max="2469" width="9.7109375" style="1" customWidth="1"/>
    <col min="2470" max="2475" width="12.5703125" style="1"/>
    <col min="2476" max="2476" width="44.7109375" style="1" customWidth="1"/>
    <col min="2477" max="2480" width="7.42578125" style="1" customWidth="1"/>
    <col min="2481" max="2481" width="7.5703125" style="1" customWidth="1"/>
    <col min="2482" max="2483" width="7.42578125" style="1" customWidth="1"/>
    <col min="2484" max="2485" width="9" style="1" bestFit="1" customWidth="1"/>
    <col min="2486" max="2486" width="9.42578125" style="1" customWidth="1"/>
    <col min="2487" max="2487" width="9.28515625" style="1" customWidth="1"/>
    <col min="2488" max="2488" width="9.85546875" style="1" customWidth="1"/>
    <col min="2489" max="2493" width="7.42578125" style="1" customWidth="1"/>
    <col min="2494" max="2494" width="7.85546875" style="1" bestFit="1" customWidth="1"/>
    <col min="2495" max="2495" width="7.42578125" style="1" customWidth="1"/>
    <col min="2496" max="2496" width="8.28515625" style="1" bestFit="1" customWidth="1"/>
    <col min="2497" max="2497" width="8.7109375" style="1" customWidth="1"/>
    <col min="2498" max="2498" width="8.5703125" style="1" customWidth="1"/>
    <col min="2499" max="2511" width="8.7109375" style="1" customWidth="1"/>
    <col min="2512" max="2512" width="12.5703125" style="1"/>
    <col min="2513" max="2513" width="45.85546875" style="1" customWidth="1"/>
    <col min="2514" max="2515" width="10.85546875" style="1" customWidth="1"/>
    <col min="2516" max="2544" width="9" style="1" customWidth="1"/>
    <col min="2545" max="2695" width="12.5703125" style="1"/>
    <col min="2696" max="2696" width="42.5703125" style="1" customWidth="1"/>
    <col min="2697" max="2697" width="9" style="1" customWidth="1"/>
    <col min="2698" max="2698" width="10.28515625" style="1" customWidth="1"/>
    <col min="2699" max="2699" width="10.42578125" style="1" customWidth="1"/>
    <col min="2700" max="2718" width="10" style="1" customWidth="1"/>
    <col min="2719" max="2725" width="9.7109375" style="1" customWidth="1"/>
    <col min="2726" max="2731" width="12.5703125" style="1"/>
    <col min="2732" max="2732" width="44.7109375" style="1" customWidth="1"/>
    <col min="2733" max="2736" width="7.42578125" style="1" customWidth="1"/>
    <col min="2737" max="2737" width="7.5703125" style="1" customWidth="1"/>
    <col min="2738" max="2739" width="7.42578125" style="1" customWidth="1"/>
    <col min="2740" max="2741" width="9" style="1" bestFit="1" customWidth="1"/>
    <col min="2742" max="2742" width="9.42578125" style="1" customWidth="1"/>
    <col min="2743" max="2743" width="9.28515625" style="1" customWidth="1"/>
    <col min="2744" max="2744" width="9.85546875" style="1" customWidth="1"/>
    <col min="2745" max="2749" width="7.42578125" style="1" customWidth="1"/>
    <col min="2750" max="2750" width="7.85546875" style="1" bestFit="1" customWidth="1"/>
    <col min="2751" max="2751" width="7.42578125" style="1" customWidth="1"/>
    <col min="2752" max="2752" width="8.28515625" style="1" bestFit="1" customWidth="1"/>
    <col min="2753" max="2753" width="8.7109375" style="1" customWidth="1"/>
    <col min="2754" max="2754" width="8.5703125" style="1" customWidth="1"/>
    <col min="2755" max="2767" width="8.7109375" style="1" customWidth="1"/>
    <col min="2768" max="2768" width="12.5703125" style="1"/>
    <col min="2769" max="2769" width="45.85546875" style="1" customWidth="1"/>
    <col min="2770" max="2771" width="10.85546875" style="1" customWidth="1"/>
    <col min="2772" max="2800" width="9" style="1" customWidth="1"/>
    <col min="2801" max="2951" width="12.5703125" style="1"/>
    <col min="2952" max="2952" width="42.5703125" style="1" customWidth="1"/>
    <col min="2953" max="2953" width="9" style="1" customWidth="1"/>
    <col min="2954" max="2954" width="10.28515625" style="1" customWidth="1"/>
    <col min="2955" max="2955" width="10.42578125" style="1" customWidth="1"/>
    <col min="2956" max="2974" width="10" style="1" customWidth="1"/>
    <col min="2975" max="2981" width="9.7109375" style="1" customWidth="1"/>
    <col min="2982" max="2987" width="12.5703125" style="1"/>
    <col min="2988" max="2988" width="44.7109375" style="1" customWidth="1"/>
    <col min="2989" max="2992" width="7.42578125" style="1" customWidth="1"/>
    <col min="2993" max="2993" width="7.5703125" style="1" customWidth="1"/>
    <col min="2994" max="2995" width="7.42578125" style="1" customWidth="1"/>
    <col min="2996" max="2997" width="9" style="1" bestFit="1" customWidth="1"/>
    <col min="2998" max="2998" width="9.42578125" style="1" customWidth="1"/>
    <col min="2999" max="2999" width="9.28515625" style="1" customWidth="1"/>
    <col min="3000" max="3000" width="9.85546875" style="1" customWidth="1"/>
    <col min="3001" max="3005" width="7.42578125" style="1" customWidth="1"/>
    <col min="3006" max="3006" width="7.85546875" style="1" bestFit="1" customWidth="1"/>
    <col min="3007" max="3007" width="7.42578125" style="1" customWidth="1"/>
    <col min="3008" max="3008" width="8.28515625" style="1" bestFit="1" customWidth="1"/>
    <col min="3009" max="3009" width="8.7109375" style="1" customWidth="1"/>
    <col min="3010" max="3010" width="8.5703125" style="1" customWidth="1"/>
    <col min="3011" max="3023" width="8.7109375" style="1" customWidth="1"/>
    <col min="3024" max="3024" width="12.5703125" style="1"/>
    <col min="3025" max="3025" width="45.85546875" style="1" customWidth="1"/>
    <col min="3026" max="3027" width="10.85546875" style="1" customWidth="1"/>
    <col min="3028" max="3056" width="9" style="1" customWidth="1"/>
    <col min="3057" max="3207" width="12.5703125" style="1"/>
    <col min="3208" max="3208" width="42.5703125" style="1" customWidth="1"/>
    <col min="3209" max="3209" width="9" style="1" customWidth="1"/>
    <col min="3210" max="3210" width="10.28515625" style="1" customWidth="1"/>
    <col min="3211" max="3211" width="10.42578125" style="1" customWidth="1"/>
    <col min="3212" max="3230" width="10" style="1" customWidth="1"/>
    <col min="3231" max="3237" width="9.7109375" style="1" customWidth="1"/>
    <col min="3238" max="3243" width="12.5703125" style="1"/>
    <col min="3244" max="3244" width="44.7109375" style="1" customWidth="1"/>
    <col min="3245" max="3248" width="7.42578125" style="1" customWidth="1"/>
    <col min="3249" max="3249" width="7.5703125" style="1" customWidth="1"/>
    <col min="3250" max="3251" width="7.42578125" style="1" customWidth="1"/>
    <col min="3252" max="3253" width="9" style="1" bestFit="1" customWidth="1"/>
    <col min="3254" max="3254" width="9.42578125" style="1" customWidth="1"/>
    <col min="3255" max="3255" width="9.28515625" style="1" customWidth="1"/>
    <col min="3256" max="3256" width="9.85546875" style="1" customWidth="1"/>
    <col min="3257" max="3261" width="7.42578125" style="1" customWidth="1"/>
    <col min="3262" max="3262" width="7.85546875" style="1" bestFit="1" customWidth="1"/>
    <col min="3263" max="3263" width="7.42578125" style="1" customWidth="1"/>
    <col min="3264" max="3264" width="8.28515625" style="1" bestFit="1" customWidth="1"/>
    <col min="3265" max="3265" width="8.7109375" style="1" customWidth="1"/>
    <col min="3266" max="3266" width="8.5703125" style="1" customWidth="1"/>
    <col min="3267" max="3279" width="8.7109375" style="1" customWidth="1"/>
    <col min="3280" max="3280" width="12.5703125" style="1"/>
    <col min="3281" max="3281" width="45.85546875" style="1" customWidth="1"/>
    <col min="3282" max="3283" width="10.85546875" style="1" customWidth="1"/>
    <col min="3284" max="3312" width="9" style="1" customWidth="1"/>
    <col min="3313" max="3463" width="12.5703125" style="1"/>
    <col min="3464" max="3464" width="42.5703125" style="1" customWidth="1"/>
    <col min="3465" max="3465" width="9" style="1" customWidth="1"/>
    <col min="3466" max="3466" width="10.28515625" style="1" customWidth="1"/>
    <col min="3467" max="3467" width="10.42578125" style="1" customWidth="1"/>
    <col min="3468" max="3486" width="10" style="1" customWidth="1"/>
    <col min="3487" max="3493" width="9.7109375" style="1" customWidth="1"/>
    <col min="3494" max="3499" width="12.5703125" style="1"/>
    <col min="3500" max="3500" width="44.7109375" style="1" customWidth="1"/>
    <col min="3501" max="3504" width="7.42578125" style="1" customWidth="1"/>
    <col min="3505" max="3505" width="7.5703125" style="1" customWidth="1"/>
    <col min="3506" max="3507" width="7.42578125" style="1" customWidth="1"/>
    <col min="3508" max="3509" width="9" style="1" bestFit="1" customWidth="1"/>
    <col min="3510" max="3510" width="9.42578125" style="1" customWidth="1"/>
    <col min="3511" max="3511" width="9.28515625" style="1" customWidth="1"/>
    <col min="3512" max="3512" width="9.85546875" style="1" customWidth="1"/>
    <col min="3513" max="3517" width="7.42578125" style="1" customWidth="1"/>
    <col min="3518" max="3518" width="7.85546875" style="1" bestFit="1" customWidth="1"/>
    <col min="3519" max="3519" width="7.42578125" style="1" customWidth="1"/>
    <col min="3520" max="3520" width="8.28515625" style="1" bestFit="1" customWidth="1"/>
    <col min="3521" max="3521" width="8.7109375" style="1" customWidth="1"/>
    <col min="3522" max="3522" width="8.5703125" style="1" customWidth="1"/>
    <col min="3523" max="3535" width="8.7109375" style="1" customWidth="1"/>
    <col min="3536" max="3536" width="12.5703125" style="1"/>
    <col min="3537" max="3537" width="45.85546875" style="1" customWidth="1"/>
    <col min="3538" max="3539" width="10.85546875" style="1" customWidth="1"/>
    <col min="3540" max="3568" width="9" style="1" customWidth="1"/>
    <col min="3569" max="3719" width="12.5703125" style="1"/>
    <col min="3720" max="3720" width="42.5703125" style="1" customWidth="1"/>
    <col min="3721" max="3721" width="9" style="1" customWidth="1"/>
    <col min="3722" max="3722" width="10.28515625" style="1" customWidth="1"/>
    <col min="3723" max="3723" width="10.42578125" style="1" customWidth="1"/>
    <col min="3724" max="3742" width="10" style="1" customWidth="1"/>
    <col min="3743" max="3749" width="9.7109375" style="1" customWidth="1"/>
    <col min="3750" max="3755" width="12.5703125" style="1"/>
    <col min="3756" max="3756" width="44.7109375" style="1" customWidth="1"/>
    <col min="3757" max="3760" width="7.42578125" style="1" customWidth="1"/>
    <col min="3761" max="3761" width="7.5703125" style="1" customWidth="1"/>
    <col min="3762" max="3763" width="7.42578125" style="1" customWidth="1"/>
    <col min="3764" max="3765" width="9" style="1" bestFit="1" customWidth="1"/>
    <col min="3766" max="3766" width="9.42578125" style="1" customWidth="1"/>
    <col min="3767" max="3767" width="9.28515625" style="1" customWidth="1"/>
    <col min="3768" max="3768" width="9.85546875" style="1" customWidth="1"/>
    <col min="3769" max="3773" width="7.42578125" style="1" customWidth="1"/>
    <col min="3774" max="3774" width="7.85546875" style="1" bestFit="1" customWidth="1"/>
    <col min="3775" max="3775" width="7.42578125" style="1" customWidth="1"/>
    <col min="3776" max="3776" width="8.28515625" style="1" bestFit="1" customWidth="1"/>
    <col min="3777" max="3777" width="8.7109375" style="1" customWidth="1"/>
    <col min="3778" max="3778" width="8.5703125" style="1" customWidth="1"/>
    <col min="3779" max="3791" width="8.7109375" style="1" customWidth="1"/>
    <col min="3792" max="3792" width="12.5703125" style="1"/>
    <col min="3793" max="3793" width="45.85546875" style="1" customWidth="1"/>
    <col min="3794" max="3795" width="10.85546875" style="1" customWidth="1"/>
    <col min="3796" max="3824" width="9" style="1" customWidth="1"/>
    <col min="3825" max="3975" width="12.5703125" style="1"/>
    <col min="3976" max="3976" width="42.5703125" style="1" customWidth="1"/>
    <col min="3977" max="3977" width="9" style="1" customWidth="1"/>
    <col min="3978" max="3978" width="10.28515625" style="1" customWidth="1"/>
    <col min="3979" max="3979" width="10.42578125" style="1" customWidth="1"/>
    <col min="3980" max="3998" width="10" style="1" customWidth="1"/>
    <col min="3999" max="4005" width="9.7109375" style="1" customWidth="1"/>
    <col min="4006" max="4011" width="12.5703125" style="1"/>
    <col min="4012" max="4012" width="44.7109375" style="1" customWidth="1"/>
    <col min="4013" max="4016" width="7.42578125" style="1" customWidth="1"/>
    <col min="4017" max="4017" width="7.5703125" style="1" customWidth="1"/>
    <col min="4018" max="4019" width="7.42578125" style="1" customWidth="1"/>
    <col min="4020" max="4021" width="9" style="1" bestFit="1" customWidth="1"/>
    <col min="4022" max="4022" width="9.42578125" style="1" customWidth="1"/>
    <col min="4023" max="4023" width="9.28515625" style="1" customWidth="1"/>
    <col min="4024" max="4024" width="9.85546875" style="1" customWidth="1"/>
    <col min="4025" max="4029" width="7.42578125" style="1" customWidth="1"/>
    <col min="4030" max="4030" width="7.85546875" style="1" bestFit="1" customWidth="1"/>
    <col min="4031" max="4031" width="7.42578125" style="1" customWidth="1"/>
    <col min="4032" max="4032" width="8.28515625" style="1" bestFit="1" customWidth="1"/>
    <col min="4033" max="4033" width="8.7109375" style="1" customWidth="1"/>
    <col min="4034" max="4034" width="8.5703125" style="1" customWidth="1"/>
    <col min="4035" max="4047" width="8.7109375" style="1" customWidth="1"/>
    <col min="4048" max="4048" width="12.5703125" style="1"/>
    <col min="4049" max="4049" width="45.85546875" style="1" customWidth="1"/>
    <col min="4050" max="4051" width="10.85546875" style="1" customWidth="1"/>
    <col min="4052" max="4080" width="9" style="1" customWidth="1"/>
    <col min="4081" max="4231" width="12.5703125" style="1"/>
    <col min="4232" max="4232" width="42.5703125" style="1" customWidth="1"/>
    <col min="4233" max="4233" width="9" style="1" customWidth="1"/>
    <col min="4234" max="4234" width="10.28515625" style="1" customWidth="1"/>
    <col min="4235" max="4235" width="10.42578125" style="1" customWidth="1"/>
    <col min="4236" max="4254" width="10" style="1" customWidth="1"/>
    <col min="4255" max="4261" width="9.7109375" style="1" customWidth="1"/>
    <col min="4262" max="4267" width="12.5703125" style="1"/>
    <col min="4268" max="4268" width="44.7109375" style="1" customWidth="1"/>
    <col min="4269" max="4272" width="7.42578125" style="1" customWidth="1"/>
    <col min="4273" max="4273" width="7.5703125" style="1" customWidth="1"/>
    <col min="4274" max="4275" width="7.42578125" style="1" customWidth="1"/>
    <col min="4276" max="4277" width="9" style="1" bestFit="1" customWidth="1"/>
    <col min="4278" max="4278" width="9.42578125" style="1" customWidth="1"/>
    <col min="4279" max="4279" width="9.28515625" style="1" customWidth="1"/>
    <col min="4280" max="4280" width="9.85546875" style="1" customWidth="1"/>
    <col min="4281" max="4285" width="7.42578125" style="1" customWidth="1"/>
    <col min="4286" max="4286" width="7.85546875" style="1" bestFit="1" customWidth="1"/>
    <col min="4287" max="4287" width="7.42578125" style="1" customWidth="1"/>
    <col min="4288" max="4288" width="8.28515625" style="1" bestFit="1" customWidth="1"/>
    <col min="4289" max="4289" width="8.7109375" style="1" customWidth="1"/>
    <col min="4290" max="4290" width="8.5703125" style="1" customWidth="1"/>
    <col min="4291" max="4303" width="8.7109375" style="1" customWidth="1"/>
    <col min="4304" max="4304" width="12.5703125" style="1"/>
    <col min="4305" max="4305" width="45.85546875" style="1" customWidth="1"/>
    <col min="4306" max="4307" width="10.85546875" style="1" customWidth="1"/>
    <col min="4308" max="4336" width="9" style="1" customWidth="1"/>
    <col min="4337" max="4487" width="12.5703125" style="1"/>
    <col min="4488" max="4488" width="42.5703125" style="1" customWidth="1"/>
    <col min="4489" max="4489" width="9" style="1" customWidth="1"/>
    <col min="4490" max="4490" width="10.28515625" style="1" customWidth="1"/>
    <col min="4491" max="4491" width="10.42578125" style="1" customWidth="1"/>
    <col min="4492" max="4510" width="10" style="1" customWidth="1"/>
    <col min="4511" max="4517" width="9.7109375" style="1" customWidth="1"/>
    <col min="4518" max="4523" width="12.5703125" style="1"/>
    <col min="4524" max="4524" width="44.7109375" style="1" customWidth="1"/>
    <col min="4525" max="4528" width="7.42578125" style="1" customWidth="1"/>
    <col min="4529" max="4529" width="7.5703125" style="1" customWidth="1"/>
    <col min="4530" max="4531" width="7.42578125" style="1" customWidth="1"/>
    <col min="4532" max="4533" width="9" style="1" bestFit="1" customWidth="1"/>
    <col min="4534" max="4534" width="9.42578125" style="1" customWidth="1"/>
    <col min="4535" max="4535" width="9.28515625" style="1" customWidth="1"/>
    <col min="4536" max="4536" width="9.85546875" style="1" customWidth="1"/>
    <col min="4537" max="4541" width="7.42578125" style="1" customWidth="1"/>
    <col min="4542" max="4542" width="7.85546875" style="1" bestFit="1" customWidth="1"/>
    <col min="4543" max="4543" width="7.42578125" style="1" customWidth="1"/>
    <col min="4544" max="4544" width="8.28515625" style="1" bestFit="1" customWidth="1"/>
    <col min="4545" max="4545" width="8.7109375" style="1" customWidth="1"/>
    <col min="4546" max="4546" width="8.5703125" style="1" customWidth="1"/>
    <col min="4547" max="4559" width="8.7109375" style="1" customWidth="1"/>
    <col min="4560" max="4560" width="12.5703125" style="1"/>
    <col min="4561" max="4561" width="45.85546875" style="1" customWidth="1"/>
    <col min="4562" max="4563" width="10.85546875" style="1" customWidth="1"/>
    <col min="4564" max="4592" width="9" style="1" customWidth="1"/>
    <col min="4593" max="4743" width="12.5703125" style="1"/>
    <col min="4744" max="4744" width="42.5703125" style="1" customWidth="1"/>
    <col min="4745" max="4745" width="9" style="1" customWidth="1"/>
    <col min="4746" max="4746" width="10.28515625" style="1" customWidth="1"/>
    <col min="4747" max="4747" width="10.42578125" style="1" customWidth="1"/>
    <col min="4748" max="4766" width="10" style="1" customWidth="1"/>
    <col min="4767" max="4773" width="9.7109375" style="1" customWidth="1"/>
    <col min="4774" max="4779" width="12.5703125" style="1"/>
    <col min="4780" max="4780" width="44.7109375" style="1" customWidth="1"/>
    <col min="4781" max="4784" width="7.42578125" style="1" customWidth="1"/>
    <col min="4785" max="4785" width="7.5703125" style="1" customWidth="1"/>
    <col min="4786" max="4787" width="7.42578125" style="1" customWidth="1"/>
    <col min="4788" max="4789" width="9" style="1" bestFit="1" customWidth="1"/>
    <col min="4790" max="4790" width="9.42578125" style="1" customWidth="1"/>
    <col min="4791" max="4791" width="9.28515625" style="1" customWidth="1"/>
    <col min="4792" max="4792" width="9.85546875" style="1" customWidth="1"/>
    <col min="4793" max="4797" width="7.42578125" style="1" customWidth="1"/>
    <col min="4798" max="4798" width="7.85546875" style="1" bestFit="1" customWidth="1"/>
    <col min="4799" max="4799" width="7.42578125" style="1" customWidth="1"/>
    <col min="4800" max="4800" width="8.28515625" style="1" bestFit="1" customWidth="1"/>
    <col min="4801" max="4801" width="8.7109375" style="1" customWidth="1"/>
    <col min="4802" max="4802" width="8.5703125" style="1" customWidth="1"/>
    <col min="4803" max="4815" width="8.7109375" style="1" customWidth="1"/>
    <col min="4816" max="4816" width="12.5703125" style="1"/>
    <col min="4817" max="4817" width="45.85546875" style="1" customWidth="1"/>
    <col min="4818" max="4819" width="10.85546875" style="1" customWidth="1"/>
    <col min="4820" max="4848" width="9" style="1" customWidth="1"/>
    <col min="4849" max="4999" width="12.5703125" style="1"/>
    <col min="5000" max="5000" width="42.5703125" style="1" customWidth="1"/>
    <col min="5001" max="5001" width="9" style="1" customWidth="1"/>
    <col min="5002" max="5002" width="10.28515625" style="1" customWidth="1"/>
    <col min="5003" max="5003" width="10.42578125" style="1" customWidth="1"/>
    <col min="5004" max="5022" width="10" style="1" customWidth="1"/>
    <col min="5023" max="5029" width="9.7109375" style="1" customWidth="1"/>
    <col min="5030" max="5035" width="12.5703125" style="1"/>
    <col min="5036" max="5036" width="44.7109375" style="1" customWidth="1"/>
    <col min="5037" max="5040" width="7.42578125" style="1" customWidth="1"/>
    <col min="5041" max="5041" width="7.5703125" style="1" customWidth="1"/>
    <col min="5042" max="5043" width="7.42578125" style="1" customWidth="1"/>
    <col min="5044" max="5045" width="9" style="1" bestFit="1" customWidth="1"/>
    <col min="5046" max="5046" width="9.42578125" style="1" customWidth="1"/>
    <col min="5047" max="5047" width="9.28515625" style="1" customWidth="1"/>
    <col min="5048" max="5048" width="9.85546875" style="1" customWidth="1"/>
    <col min="5049" max="5053" width="7.42578125" style="1" customWidth="1"/>
    <col min="5054" max="5054" width="7.85546875" style="1" bestFit="1" customWidth="1"/>
    <col min="5055" max="5055" width="7.42578125" style="1" customWidth="1"/>
    <col min="5056" max="5056" width="8.28515625" style="1" bestFit="1" customWidth="1"/>
    <col min="5057" max="5057" width="8.7109375" style="1" customWidth="1"/>
    <col min="5058" max="5058" width="8.5703125" style="1" customWidth="1"/>
    <col min="5059" max="5071" width="8.7109375" style="1" customWidth="1"/>
    <col min="5072" max="5072" width="12.5703125" style="1"/>
    <col min="5073" max="5073" width="45.85546875" style="1" customWidth="1"/>
    <col min="5074" max="5075" width="10.85546875" style="1" customWidth="1"/>
    <col min="5076" max="5104" width="9" style="1" customWidth="1"/>
    <col min="5105" max="5255" width="12.5703125" style="1"/>
    <col min="5256" max="5256" width="42.5703125" style="1" customWidth="1"/>
    <col min="5257" max="5257" width="9" style="1" customWidth="1"/>
    <col min="5258" max="5258" width="10.28515625" style="1" customWidth="1"/>
    <col min="5259" max="5259" width="10.42578125" style="1" customWidth="1"/>
    <col min="5260" max="5278" width="10" style="1" customWidth="1"/>
    <col min="5279" max="5285" width="9.7109375" style="1" customWidth="1"/>
    <col min="5286" max="5291" width="12.5703125" style="1"/>
    <col min="5292" max="5292" width="44.7109375" style="1" customWidth="1"/>
    <col min="5293" max="5296" width="7.42578125" style="1" customWidth="1"/>
    <col min="5297" max="5297" width="7.5703125" style="1" customWidth="1"/>
    <col min="5298" max="5299" width="7.42578125" style="1" customWidth="1"/>
    <col min="5300" max="5301" width="9" style="1" bestFit="1" customWidth="1"/>
    <col min="5302" max="5302" width="9.42578125" style="1" customWidth="1"/>
    <col min="5303" max="5303" width="9.28515625" style="1" customWidth="1"/>
    <col min="5304" max="5304" width="9.85546875" style="1" customWidth="1"/>
    <col min="5305" max="5309" width="7.42578125" style="1" customWidth="1"/>
    <col min="5310" max="5310" width="7.85546875" style="1" bestFit="1" customWidth="1"/>
    <col min="5311" max="5311" width="7.42578125" style="1" customWidth="1"/>
    <col min="5312" max="5312" width="8.28515625" style="1" bestFit="1" customWidth="1"/>
    <col min="5313" max="5313" width="8.7109375" style="1" customWidth="1"/>
    <col min="5314" max="5314" width="8.5703125" style="1" customWidth="1"/>
    <col min="5315" max="5327" width="8.7109375" style="1" customWidth="1"/>
    <col min="5328" max="5328" width="12.5703125" style="1"/>
    <col min="5329" max="5329" width="45.85546875" style="1" customWidth="1"/>
    <col min="5330" max="5331" width="10.85546875" style="1" customWidth="1"/>
    <col min="5332" max="5360" width="9" style="1" customWidth="1"/>
    <col min="5361" max="5511" width="12.5703125" style="1"/>
    <col min="5512" max="5512" width="42.5703125" style="1" customWidth="1"/>
    <col min="5513" max="5513" width="9" style="1" customWidth="1"/>
    <col min="5514" max="5514" width="10.28515625" style="1" customWidth="1"/>
    <col min="5515" max="5515" width="10.42578125" style="1" customWidth="1"/>
    <col min="5516" max="5534" width="10" style="1" customWidth="1"/>
    <col min="5535" max="5541" width="9.7109375" style="1" customWidth="1"/>
    <col min="5542" max="5547" width="12.5703125" style="1"/>
    <col min="5548" max="5548" width="44.7109375" style="1" customWidth="1"/>
    <col min="5549" max="5552" width="7.42578125" style="1" customWidth="1"/>
    <col min="5553" max="5553" width="7.5703125" style="1" customWidth="1"/>
    <col min="5554" max="5555" width="7.42578125" style="1" customWidth="1"/>
    <col min="5556" max="5557" width="9" style="1" bestFit="1" customWidth="1"/>
    <col min="5558" max="5558" width="9.42578125" style="1" customWidth="1"/>
    <col min="5559" max="5559" width="9.28515625" style="1" customWidth="1"/>
    <col min="5560" max="5560" width="9.85546875" style="1" customWidth="1"/>
    <col min="5561" max="5565" width="7.42578125" style="1" customWidth="1"/>
    <col min="5566" max="5566" width="7.85546875" style="1" bestFit="1" customWidth="1"/>
    <col min="5567" max="5567" width="7.42578125" style="1" customWidth="1"/>
    <col min="5568" max="5568" width="8.28515625" style="1" bestFit="1" customWidth="1"/>
    <col min="5569" max="5569" width="8.7109375" style="1" customWidth="1"/>
    <col min="5570" max="5570" width="8.5703125" style="1" customWidth="1"/>
    <col min="5571" max="5583" width="8.7109375" style="1" customWidth="1"/>
    <col min="5584" max="5584" width="12.5703125" style="1"/>
    <col min="5585" max="5585" width="45.85546875" style="1" customWidth="1"/>
    <col min="5586" max="5587" width="10.85546875" style="1" customWidth="1"/>
    <col min="5588" max="5616" width="9" style="1" customWidth="1"/>
    <col min="5617" max="5767" width="12.5703125" style="1"/>
    <col min="5768" max="5768" width="42.5703125" style="1" customWidth="1"/>
    <col min="5769" max="5769" width="9" style="1" customWidth="1"/>
    <col min="5770" max="5770" width="10.28515625" style="1" customWidth="1"/>
    <col min="5771" max="5771" width="10.42578125" style="1" customWidth="1"/>
    <col min="5772" max="5790" width="10" style="1" customWidth="1"/>
    <col min="5791" max="5797" width="9.7109375" style="1" customWidth="1"/>
    <col min="5798" max="5803" width="12.5703125" style="1"/>
    <col min="5804" max="5804" width="44.7109375" style="1" customWidth="1"/>
    <col min="5805" max="5808" width="7.42578125" style="1" customWidth="1"/>
    <col min="5809" max="5809" width="7.5703125" style="1" customWidth="1"/>
    <col min="5810" max="5811" width="7.42578125" style="1" customWidth="1"/>
    <col min="5812" max="5813" width="9" style="1" bestFit="1" customWidth="1"/>
    <col min="5814" max="5814" width="9.42578125" style="1" customWidth="1"/>
    <col min="5815" max="5815" width="9.28515625" style="1" customWidth="1"/>
    <col min="5816" max="5816" width="9.85546875" style="1" customWidth="1"/>
    <col min="5817" max="5821" width="7.42578125" style="1" customWidth="1"/>
    <col min="5822" max="5822" width="7.85546875" style="1" bestFit="1" customWidth="1"/>
    <col min="5823" max="5823" width="7.42578125" style="1" customWidth="1"/>
    <col min="5824" max="5824" width="8.28515625" style="1" bestFit="1" customWidth="1"/>
    <col min="5825" max="5825" width="8.7109375" style="1" customWidth="1"/>
    <col min="5826" max="5826" width="8.5703125" style="1" customWidth="1"/>
    <col min="5827" max="5839" width="8.7109375" style="1" customWidth="1"/>
    <col min="5840" max="5840" width="12.5703125" style="1"/>
    <col min="5841" max="5841" width="45.85546875" style="1" customWidth="1"/>
    <col min="5842" max="5843" width="10.85546875" style="1" customWidth="1"/>
    <col min="5844" max="5872" width="9" style="1" customWidth="1"/>
    <col min="5873" max="6023" width="12.5703125" style="1"/>
    <col min="6024" max="6024" width="42.5703125" style="1" customWidth="1"/>
    <col min="6025" max="6025" width="9" style="1" customWidth="1"/>
    <col min="6026" max="6026" width="10.28515625" style="1" customWidth="1"/>
    <col min="6027" max="6027" width="10.42578125" style="1" customWidth="1"/>
    <col min="6028" max="6046" width="10" style="1" customWidth="1"/>
    <col min="6047" max="6053" width="9.7109375" style="1" customWidth="1"/>
    <col min="6054" max="6059" width="12.5703125" style="1"/>
    <col min="6060" max="6060" width="44.7109375" style="1" customWidth="1"/>
    <col min="6061" max="6064" width="7.42578125" style="1" customWidth="1"/>
    <col min="6065" max="6065" width="7.5703125" style="1" customWidth="1"/>
    <col min="6066" max="6067" width="7.42578125" style="1" customWidth="1"/>
    <col min="6068" max="6069" width="9" style="1" bestFit="1" customWidth="1"/>
    <col min="6070" max="6070" width="9.42578125" style="1" customWidth="1"/>
    <col min="6071" max="6071" width="9.28515625" style="1" customWidth="1"/>
    <col min="6072" max="6072" width="9.85546875" style="1" customWidth="1"/>
    <col min="6073" max="6077" width="7.42578125" style="1" customWidth="1"/>
    <col min="6078" max="6078" width="7.85546875" style="1" bestFit="1" customWidth="1"/>
    <col min="6079" max="6079" width="7.42578125" style="1" customWidth="1"/>
    <col min="6080" max="6080" width="8.28515625" style="1" bestFit="1" customWidth="1"/>
    <col min="6081" max="6081" width="8.7109375" style="1" customWidth="1"/>
    <col min="6082" max="6082" width="8.5703125" style="1" customWidth="1"/>
    <col min="6083" max="6095" width="8.7109375" style="1" customWidth="1"/>
    <col min="6096" max="6096" width="12.5703125" style="1"/>
    <col min="6097" max="6097" width="45.85546875" style="1" customWidth="1"/>
    <col min="6098" max="6099" width="10.85546875" style="1" customWidth="1"/>
    <col min="6100" max="6128" width="9" style="1" customWidth="1"/>
    <col min="6129" max="6279" width="12.5703125" style="1"/>
    <col min="6280" max="6280" width="42.5703125" style="1" customWidth="1"/>
    <col min="6281" max="6281" width="9" style="1" customWidth="1"/>
    <col min="6282" max="6282" width="10.28515625" style="1" customWidth="1"/>
    <col min="6283" max="6283" width="10.42578125" style="1" customWidth="1"/>
    <col min="6284" max="6302" width="10" style="1" customWidth="1"/>
    <col min="6303" max="6309" width="9.7109375" style="1" customWidth="1"/>
    <col min="6310" max="6315" width="12.5703125" style="1"/>
    <col min="6316" max="6316" width="44.7109375" style="1" customWidth="1"/>
    <col min="6317" max="6320" width="7.42578125" style="1" customWidth="1"/>
    <col min="6321" max="6321" width="7.5703125" style="1" customWidth="1"/>
    <col min="6322" max="6323" width="7.42578125" style="1" customWidth="1"/>
    <col min="6324" max="6325" width="9" style="1" bestFit="1" customWidth="1"/>
    <col min="6326" max="6326" width="9.42578125" style="1" customWidth="1"/>
    <col min="6327" max="6327" width="9.28515625" style="1" customWidth="1"/>
    <col min="6328" max="6328" width="9.85546875" style="1" customWidth="1"/>
    <col min="6329" max="6333" width="7.42578125" style="1" customWidth="1"/>
    <col min="6334" max="6334" width="7.85546875" style="1" bestFit="1" customWidth="1"/>
    <col min="6335" max="6335" width="7.42578125" style="1" customWidth="1"/>
    <col min="6336" max="6336" width="8.28515625" style="1" bestFit="1" customWidth="1"/>
    <col min="6337" max="6337" width="8.7109375" style="1" customWidth="1"/>
    <col min="6338" max="6338" width="8.5703125" style="1" customWidth="1"/>
    <col min="6339" max="6351" width="8.7109375" style="1" customWidth="1"/>
    <col min="6352" max="6352" width="12.5703125" style="1"/>
    <col min="6353" max="6353" width="45.85546875" style="1" customWidth="1"/>
    <col min="6354" max="6355" width="10.85546875" style="1" customWidth="1"/>
    <col min="6356" max="6384" width="9" style="1" customWidth="1"/>
    <col min="6385" max="6535" width="12.5703125" style="1"/>
    <col min="6536" max="6536" width="42.5703125" style="1" customWidth="1"/>
    <col min="6537" max="6537" width="9" style="1" customWidth="1"/>
    <col min="6538" max="6538" width="10.28515625" style="1" customWidth="1"/>
    <col min="6539" max="6539" width="10.42578125" style="1" customWidth="1"/>
    <col min="6540" max="6558" width="10" style="1" customWidth="1"/>
    <col min="6559" max="6565" width="9.7109375" style="1" customWidth="1"/>
    <col min="6566" max="6571" width="12.5703125" style="1"/>
    <col min="6572" max="6572" width="44.7109375" style="1" customWidth="1"/>
    <col min="6573" max="6576" width="7.42578125" style="1" customWidth="1"/>
    <col min="6577" max="6577" width="7.5703125" style="1" customWidth="1"/>
    <col min="6578" max="6579" width="7.42578125" style="1" customWidth="1"/>
    <col min="6580" max="6581" width="9" style="1" bestFit="1" customWidth="1"/>
    <col min="6582" max="6582" width="9.42578125" style="1" customWidth="1"/>
    <col min="6583" max="6583" width="9.28515625" style="1" customWidth="1"/>
    <col min="6584" max="6584" width="9.85546875" style="1" customWidth="1"/>
    <col min="6585" max="6589" width="7.42578125" style="1" customWidth="1"/>
    <col min="6590" max="6590" width="7.85546875" style="1" bestFit="1" customWidth="1"/>
    <col min="6591" max="6591" width="7.42578125" style="1" customWidth="1"/>
    <col min="6592" max="6592" width="8.28515625" style="1" bestFit="1" customWidth="1"/>
    <col min="6593" max="6593" width="8.7109375" style="1" customWidth="1"/>
    <col min="6594" max="6594" width="8.5703125" style="1" customWidth="1"/>
    <col min="6595" max="6607" width="8.7109375" style="1" customWidth="1"/>
    <col min="6608" max="6608" width="12.5703125" style="1"/>
    <col min="6609" max="6609" width="45.85546875" style="1" customWidth="1"/>
    <col min="6610" max="6611" width="10.85546875" style="1" customWidth="1"/>
    <col min="6612" max="6640" width="9" style="1" customWidth="1"/>
    <col min="6641" max="6791" width="12.5703125" style="1"/>
    <col min="6792" max="6792" width="42.5703125" style="1" customWidth="1"/>
    <col min="6793" max="6793" width="9" style="1" customWidth="1"/>
    <col min="6794" max="6794" width="10.28515625" style="1" customWidth="1"/>
    <col min="6795" max="6795" width="10.42578125" style="1" customWidth="1"/>
    <col min="6796" max="6814" width="10" style="1" customWidth="1"/>
    <col min="6815" max="6821" width="9.7109375" style="1" customWidth="1"/>
    <col min="6822" max="6827" width="12.5703125" style="1"/>
    <col min="6828" max="6828" width="44.7109375" style="1" customWidth="1"/>
    <col min="6829" max="6832" width="7.42578125" style="1" customWidth="1"/>
    <col min="6833" max="6833" width="7.5703125" style="1" customWidth="1"/>
    <col min="6834" max="6835" width="7.42578125" style="1" customWidth="1"/>
    <col min="6836" max="6837" width="9" style="1" bestFit="1" customWidth="1"/>
    <col min="6838" max="6838" width="9.42578125" style="1" customWidth="1"/>
    <col min="6839" max="6839" width="9.28515625" style="1" customWidth="1"/>
    <col min="6840" max="6840" width="9.85546875" style="1" customWidth="1"/>
    <col min="6841" max="6845" width="7.42578125" style="1" customWidth="1"/>
    <col min="6846" max="6846" width="7.85546875" style="1" bestFit="1" customWidth="1"/>
    <col min="6847" max="6847" width="7.42578125" style="1" customWidth="1"/>
    <col min="6848" max="6848" width="8.28515625" style="1" bestFit="1" customWidth="1"/>
    <col min="6849" max="6849" width="8.7109375" style="1" customWidth="1"/>
    <col min="6850" max="6850" width="8.5703125" style="1" customWidth="1"/>
    <col min="6851" max="6863" width="8.7109375" style="1" customWidth="1"/>
    <col min="6864" max="6864" width="12.5703125" style="1"/>
    <col min="6865" max="6865" width="45.85546875" style="1" customWidth="1"/>
    <col min="6866" max="6867" width="10.85546875" style="1" customWidth="1"/>
    <col min="6868" max="6896" width="9" style="1" customWidth="1"/>
    <col min="6897" max="7047" width="12.5703125" style="1"/>
    <col min="7048" max="7048" width="42.5703125" style="1" customWidth="1"/>
    <col min="7049" max="7049" width="9" style="1" customWidth="1"/>
    <col min="7050" max="7050" width="10.28515625" style="1" customWidth="1"/>
    <col min="7051" max="7051" width="10.42578125" style="1" customWidth="1"/>
    <col min="7052" max="7070" width="10" style="1" customWidth="1"/>
    <col min="7071" max="7077" width="9.7109375" style="1" customWidth="1"/>
    <col min="7078" max="7083" width="12.5703125" style="1"/>
    <col min="7084" max="7084" width="44.7109375" style="1" customWidth="1"/>
    <col min="7085" max="7088" width="7.42578125" style="1" customWidth="1"/>
    <col min="7089" max="7089" width="7.5703125" style="1" customWidth="1"/>
    <col min="7090" max="7091" width="7.42578125" style="1" customWidth="1"/>
    <col min="7092" max="7093" width="9" style="1" bestFit="1" customWidth="1"/>
    <col min="7094" max="7094" width="9.42578125" style="1" customWidth="1"/>
    <col min="7095" max="7095" width="9.28515625" style="1" customWidth="1"/>
    <col min="7096" max="7096" width="9.85546875" style="1" customWidth="1"/>
    <col min="7097" max="7101" width="7.42578125" style="1" customWidth="1"/>
    <col min="7102" max="7102" width="7.85546875" style="1" bestFit="1" customWidth="1"/>
    <col min="7103" max="7103" width="7.42578125" style="1" customWidth="1"/>
    <col min="7104" max="7104" width="8.28515625" style="1" bestFit="1" customWidth="1"/>
    <col min="7105" max="7105" width="8.7109375" style="1" customWidth="1"/>
    <col min="7106" max="7106" width="8.5703125" style="1" customWidth="1"/>
    <col min="7107" max="7119" width="8.7109375" style="1" customWidth="1"/>
    <col min="7120" max="7120" width="12.5703125" style="1"/>
    <col min="7121" max="7121" width="45.85546875" style="1" customWidth="1"/>
    <col min="7122" max="7123" width="10.85546875" style="1" customWidth="1"/>
    <col min="7124" max="7152" width="9" style="1" customWidth="1"/>
    <col min="7153" max="7303" width="12.5703125" style="1"/>
    <col min="7304" max="7304" width="42.5703125" style="1" customWidth="1"/>
    <col min="7305" max="7305" width="9" style="1" customWidth="1"/>
    <col min="7306" max="7306" width="10.28515625" style="1" customWidth="1"/>
    <col min="7307" max="7307" width="10.42578125" style="1" customWidth="1"/>
    <col min="7308" max="7326" width="10" style="1" customWidth="1"/>
    <col min="7327" max="7333" width="9.7109375" style="1" customWidth="1"/>
    <col min="7334" max="7339" width="12.5703125" style="1"/>
    <col min="7340" max="7340" width="44.7109375" style="1" customWidth="1"/>
    <col min="7341" max="7344" width="7.42578125" style="1" customWidth="1"/>
    <col min="7345" max="7345" width="7.5703125" style="1" customWidth="1"/>
    <col min="7346" max="7347" width="7.42578125" style="1" customWidth="1"/>
    <col min="7348" max="7349" width="9" style="1" bestFit="1" customWidth="1"/>
    <col min="7350" max="7350" width="9.42578125" style="1" customWidth="1"/>
    <col min="7351" max="7351" width="9.28515625" style="1" customWidth="1"/>
    <col min="7352" max="7352" width="9.85546875" style="1" customWidth="1"/>
    <col min="7353" max="7357" width="7.42578125" style="1" customWidth="1"/>
    <col min="7358" max="7358" width="7.85546875" style="1" bestFit="1" customWidth="1"/>
    <col min="7359" max="7359" width="7.42578125" style="1" customWidth="1"/>
    <col min="7360" max="7360" width="8.28515625" style="1" bestFit="1" customWidth="1"/>
    <col min="7361" max="7361" width="8.7109375" style="1" customWidth="1"/>
    <col min="7362" max="7362" width="8.5703125" style="1" customWidth="1"/>
    <col min="7363" max="7375" width="8.7109375" style="1" customWidth="1"/>
    <col min="7376" max="7376" width="12.5703125" style="1"/>
    <col min="7377" max="7377" width="45.85546875" style="1" customWidth="1"/>
    <col min="7378" max="7379" width="10.85546875" style="1" customWidth="1"/>
    <col min="7380" max="7408" width="9" style="1" customWidth="1"/>
    <col min="7409" max="7559" width="12.5703125" style="1"/>
    <col min="7560" max="7560" width="42.5703125" style="1" customWidth="1"/>
    <col min="7561" max="7561" width="9" style="1" customWidth="1"/>
    <col min="7562" max="7562" width="10.28515625" style="1" customWidth="1"/>
    <col min="7563" max="7563" width="10.42578125" style="1" customWidth="1"/>
    <col min="7564" max="7582" width="10" style="1" customWidth="1"/>
    <col min="7583" max="7589" width="9.7109375" style="1" customWidth="1"/>
    <col min="7590" max="7595" width="12.5703125" style="1"/>
    <col min="7596" max="7596" width="44.7109375" style="1" customWidth="1"/>
    <col min="7597" max="7600" width="7.42578125" style="1" customWidth="1"/>
    <col min="7601" max="7601" width="7.5703125" style="1" customWidth="1"/>
    <col min="7602" max="7603" width="7.42578125" style="1" customWidth="1"/>
    <col min="7604" max="7605" width="9" style="1" bestFit="1" customWidth="1"/>
    <col min="7606" max="7606" width="9.42578125" style="1" customWidth="1"/>
    <col min="7607" max="7607" width="9.28515625" style="1" customWidth="1"/>
    <col min="7608" max="7608" width="9.85546875" style="1" customWidth="1"/>
    <col min="7609" max="7613" width="7.42578125" style="1" customWidth="1"/>
    <col min="7614" max="7614" width="7.85546875" style="1" bestFit="1" customWidth="1"/>
    <col min="7615" max="7615" width="7.42578125" style="1" customWidth="1"/>
    <col min="7616" max="7616" width="8.28515625" style="1" bestFit="1" customWidth="1"/>
    <col min="7617" max="7617" width="8.7109375" style="1" customWidth="1"/>
    <col min="7618" max="7618" width="8.5703125" style="1" customWidth="1"/>
    <col min="7619" max="7631" width="8.7109375" style="1" customWidth="1"/>
    <col min="7632" max="7632" width="12.5703125" style="1"/>
    <col min="7633" max="7633" width="45.85546875" style="1" customWidth="1"/>
    <col min="7634" max="7635" width="10.85546875" style="1" customWidth="1"/>
    <col min="7636" max="7664" width="9" style="1" customWidth="1"/>
    <col min="7665" max="7815" width="12.5703125" style="1"/>
    <col min="7816" max="7816" width="42.5703125" style="1" customWidth="1"/>
    <col min="7817" max="7817" width="9" style="1" customWidth="1"/>
    <col min="7818" max="7818" width="10.28515625" style="1" customWidth="1"/>
    <col min="7819" max="7819" width="10.42578125" style="1" customWidth="1"/>
    <col min="7820" max="7838" width="10" style="1" customWidth="1"/>
    <col min="7839" max="7845" width="9.7109375" style="1" customWidth="1"/>
    <col min="7846" max="7851" width="12.5703125" style="1"/>
    <col min="7852" max="7852" width="44.7109375" style="1" customWidth="1"/>
    <col min="7853" max="7856" width="7.42578125" style="1" customWidth="1"/>
    <col min="7857" max="7857" width="7.5703125" style="1" customWidth="1"/>
    <col min="7858" max="7859" width="7.42578125" style="1" customWidth="1"/>
    <col min="7860" max="7861" width="9" style="1" bestFit="1" customWidth="1"/>
    <col min="7862" max="7862" width="9.42578125" style="1" customWidth="1"/>
    <col min="7863" max="7863" width="9.28515625" style="1" customWidth="1"/>
    <col min="7864" max="7864" width="9.85546875" style="1" customWidth="1"/>
    <col min="7865" max="7869" width="7.42578125" style="1" customWidth="1"/>
    <col min="7870" max="7870" width="7.85546875" style="1" bestFit="1" customWidth="1"/>
    <col min="7871" max="7871" width="7.42578125" style="1" customWidth="1"/>
    <col min="7872" max="7872" width="8.28515625" style="1" bestFit="1" customWidth="1"/>
    <col min="7873" max="7873" width="8.7109375" style="1" customWidth="1"/>
    <col min="7874" max="7874" width="8.5703125" style="1" customWidth="1"/>
    <col min="7875" max="7887" width="8.7109375" style="1" customWidth="1"/>
    <col min="7888" max="7888" width="12.5703125" style="1"/>
    <col min="7889" max="7889" width="45.85546875" style="1" customWidth="1"/>
    <col min="7890" max="7891" width="10.85546875" style="1" customWidth="1"/>
    <col min="7892" max="7920" width="9" style="1" customWidth="1"/>
    <col min="7921" max="8071" width="12.5703125" style="1"/>
    <col min="8072" max="8072" width="42.5703125" style="1" customWidth="1"/>
    <col min="8073" max="8073" width="9" style="1" customWidth="1"/>
    <col min="8074" max="8074" width="10.28515625" style="1" customWidth="1"/>
    <col min="8075" max="8075" width="10.42578125" style="1" customWidth="1"/>
    <col min="8076" max="8094" width="10" style="1" customWidth="1"/>
    <col min="8095" max="8101" width="9.7109375" style="1" customWidth="1"/>
    <col min="8102" max="8107" width="12.5703125" style="1"/>
    <col min="8108" max="8108" width="44.7109375" style="1" customWidth="1"/>
    <col min="8109" max="8112" width="7.42578125" style="1" customWidth="1"/>
    <col min="8113" max="8113" width="7.5703125" style="1" customWidth="1"/>
    <col min="8114" max="8115" width="7.42578125" style="1" customWidth="1"/>
    <col min="8116" max="8117" width="9" style="1" bestFit="1" customWidth="1"/>
    <col min="8118" max="8118" width="9.42578125" style="1" customWidth="1"/>
    <col min="8119" max="8119" width="9.28515625" style="1" customWidth="1"/>
    <col min="8120" max="8120" width="9.85546875" style="1" customWidth="1"/>
    <col min="8121" max="8125" width="7.42578125" style="1" customWidth="1"/>
    <col min="8126" max="8126" width="7.85546875" style="1" bestFit="1" customWidth="1"/>
    <col min="8127" max="8127" width="7.42578125" style="1" customWidth="1"/>
    <col min="8128" max="8128" width="8.28515625" style="1" bestFit="1" customWidth="1"/>
    <col min="8129" max="8129" width="8.7109375" style="1" customWidth="1"/>
    <col min="8130" max="8130" width="8.5703125" style="1" customWidth="1"/>
    <col min="8131" max="8143" width="8.7109375" style="1" customWidth="1"/>
    <col min="8144" max="8144" width="12.5703125" style="1"/>
    <col min="8145" max="8145" width="45.85546875" style="1" customWidth="1"/>
    <col min="8146" max="8147" width="10.85546875" style="1" customWidth="1"/>
    <col min="8148" max="8176" width="9" style="1" customWidth="1"/>
    <col min="8177" max="8327" width="12.5703125" style="1"/>
    <col min="8328" max="8328" width="42.5703125" style="1" customWidth="1"/>
    <col min="8329" max="8329" width="9" style="1" customWidth="1"/>
    <col min="8330" max="8330" width="10.28515625" style="1" customWidth="1"/>
    <col min="8331" max="8331" width="10.42578125" style="1" customWidth="1"/>
    <col min="8332" max="8350" width="10" style="1" customWidth="1"/>
    <col min="8351" max="8357" width="9.7109375" style="1" customWidth="1"/>
    <col min="8358" max="8363" width="12.5703125" style="1"/>
    <col min="8364" max="8364" width="44.7109375" style="1" customWidth="1"/>
    <col min="8365" max="8368" width="7.42578125" style="1" customWidth="1"/>
    <col min="8369" max="8369" width="7.5703125" style="1" customWidth="1"/>
    <col min="8370" max="8371" width="7.42578125" style="1" customWidth="1"/>
    <col min="8372" max="8373" width="9" style="1" bestFit="1" customWidth="1"/>
    <col min="8374" max="8374" width="9.42578125" style="1" customWidth="1"/>
    <col min="8375" max="8375" width="9.28515625" style="1" customWidth="1"/>
    <col min="8376" max="8376" width="9.85546875" style="1" customWidth="1"/>
    <col min="8377" max="8381" width="7.42578125" style="1" customWidth="1"/>
    <col min="8382" max="8382" width="7.85546875" style="1" bestFit="1" customWidth="1"/>
    <col min="8383" max="8383" width="7.42578125" style="1" customWidth="1"/>
    <col min="8384" max="8384" width="8.28515625" style="1" bestFit="1" customWidth="1"/>
    <col min="8385" max="8385" width="8.7109375" style="1" customWidth="1"/>
    <col min="8386" max="8386" width="8.5703125" style="1" customWidth="1"/>
    <col min="8387" max="8399" width="8.7109375" style="1" customWidth="1"/>
    <col min="8400" max="8400" width="12.5703125" style="1"/>
    <col min="8401" max="8401" width="45.85546875" style="1" customWidth="1"/>
    <col min="8402" max="8403" width="10.85546875" style="1" customWidth="1"/>
    <col min="8404" max="8432" width="9" style="1" customWidth="1"/>
    <col min="8433" max="8583" width="12.5703125" style="1"/>
    <col min="8584" max="8584" width="42.5703125" style="1" customWidth="1"/>
    <col min="8585" max="8585" width="9" style="1" customWidth="1"/>
    <col min="8586" max="8586" width="10.28515625" style="1" customWidth="1"/>
    <col min="8587" max="8587" width="10.42578125" style="1" customWidth="1"/>
    <col min="8588" max="8606" width="10" style="1" customWidth="1"/>
    <col min="8607" max="8613" width="9.7109375" style="1" customWidth="1"/>
    <col min="8614" max="8619" width="12.5703125" style="1"/>
    <col min="8620" max="8620" width="44.7109375" style="1" customWidth="1"/>
    <col min="8621" max="8624" width="7.42578125" style="1" customWidth="1"/>
    <col min="8625" max="8625" width="7.5703125" style="1" customWidth="1"/>
    <col min="8626" max="8627" width="7.42578125" style="1" customWidth="1"/>
    <col min="8628" max="8629" width="9" style="1" bestFit="1" customWidth="1"/>
    <col min="8630" max="8630" width="9.42578125" style="1" customWidth="1"/>
    <col min="8631" max="8631" width="9.28515625" style="1" customWidth="1"/>
    <col min="8632" max="8632" width="9.85546875" style="1" customWidth="1"/>
    <col min="8633" max="8637" width="7.42578125" style="1" customWidth="1"/>
    <col min="8638" max="8638" width="7.85546875" style="1" bestFit="1" customWidth="1"/>
    <col min="8639" max="8639" width="7.42578125" style="1" customWidth="1"/>
    <col min="8640" max="8640" width="8.28515625" style="1" bestFit="1" customWidth="1"/>
    <col min="8641" max="8641" width="8.7109375" style="1" customWidth="1"/>
    <col min="8642" max="8642" width="8.5703125" style="1" customWidth="1"/>
    <col min="8643" max="8655" width="8.7109375" style="1" customWidth="1"/>
    <col min="8656" max="8656" width="12.5703125" style="1"/>
    <col min="8657" max="8657" width="45.85546875" style="1" customWidth="1"/>
    <col min="8658" max="8659" width="10.85546875" style="1" customWidth="1"/>
    <col min="8660" max="8688" width="9" style="1" customWidth="1"/>
    <col min="8689" max="8839" width="12.5703125" style="1"/>
    <col min="8840" max="8840" width="42.5703125" style="1" customWidth="1"/>
    <col min="8841" max="8841" width="9" style="1" customWidth="1"/>
    <col min="8842" max="8842" width="10.28515625" style="1" customWidth="1"/>
    <col min="8843" max="8843" width="10.42578125" style="1" customWidth="1"/>
    <col min="8844" max="8862" width="10" style="1" customWidth="1"/>
    <col min="8863" max="8869" width="9.7109375" style="1" customWidth="1"/>
    <col min="8870" max="8875" width="12.5703125" style="1"/>
    <col min="8876" max="8876" width="44.7109375" style="1" customWidth="1"/>
    <col min="8877" max="8880" width="7.42578125" style="1" customWidth="1"/>
    <col min="8881" max="8881" width="7.5703125" style="1" customWidth="1"/>
    <col min="8882" max="8883" width="7.42578125" style="1" customWidth="1"/>
    <col min="8884" max="8885" width="9" style="1" bestFit="1" customWidth="1"/>
    <col min="8886" max="8886" width="9.42578125" style="1" customWidth="1"/>
    <col min="8887" max="8887" width="9.28515625" style="1" customWidth="1"/>
    <col min="8888" max="8888" width="9.85546875" style="1" customWidth="1"/>
    <col min="8889" max="8893" width="7.42578125" style="1" customWidth="1"/>
    <col min="8894" max="8894" width="7.85546875" style="1" bestFit="1" customWidth="1"/>
    <col min="8895" max="8895" width="7.42578125" style="1" customWidth="1"/>
    <col min="8896" max="8896" width="8.28515625" style="1" bestFit="1" customWidth="1"/>
    <col min="8897" max="8897" width="8.7109375" style="1" customWidth="1"/>
    <col min="8898" max="8898" width="8.5703125" style="1" customWidth="1"/>
    <col min="8899" max="8911" width="8.7109375" style="1" customWidth="1"/>
    <col min="8912" max="8912" width="12.5703125" style="1"/>
    <col min="8913" max="8913" width="45.85546875" style="1" customWidth="1"/>
    <col min="8914" max="8915" width="10.85546875" style="1" customWidth="1"/>
    <col min="8916" max="8944" width="9" style="1" customWidth="1"/>
    <col min="8945" max="9095" width="12.5703125" style="1"/>
    <col min="9096" max="9096" width="42.5703125" style="1" customWidth="1"/>
    <col min="9097" max="9097" width="9" style="1" customWidth="1"/>
    <col min="9098" max="9098" width="10.28515625" style="1" customWidth="1"/>
    <col min="9099" max="9099" width="10.42578125" style="1" customWidth="1"/>
    <col min="9100" max="9118" width="10" style="1" customWidth="1"/>
    <col min="9119" max="9125" width="9.7109375" style="1" customWidth="1"/>
    <col min="9126" max="9131" width="12.5703125" style="1"/>
    <col min="9132" max="9132" width="44.7109375" style="1" customWidth="1"/>
    <col min="9133" max="9136" width="7.42578125" style="1" customWidth="1"/>
    <col min="9137" max="9137" width="7.5703125" style="1" customWidth="1"/>
    <col min="9138" max="9139" width="7.42578125" style="1" customWidth="1"/>
    <col min="9140" max="9141" width="9" style="1" bestFit="1" customWidth="1"/>
    <col min="9142" max="9142" width="9.42578125" style="1" customWidth="1"/>
    <col min="9143" max="9143" width="9.28515625" style="1" customWidth="1"/>
    <col min="9144" max="9144" width="9.85546875" style="1" customWidth="1"/>
    <col min="9145" max="9149" width="7.42578125" style="1" customWidth="1"/>
    <col min="9150" max="9150" width="7.85546875" style="1" bestFit="1" customWidth="1"/>
    <col min="9151" max="9151" width="7.42578125" style="1" customWidth="1"/>
    <col min="9152" max="9152" width="8.28515625" style="1" bestFit="1" customWidth="1"/>
    <col min="9153" max="9153" width="8.7109375" style="1" customWidth="1"/>
    <col min="9154" max="9154" width="8.5703125" style="1" customWidth="1"/>
    <col min="9155" max="9167" width="8.7109375" style="1" customWidth="1"/>
    <col min="9168" max="9168" width="12.5703125" style="1"/>
    <col min="9169" max="9169" width="45.85546875" style="1" customWidth="1"/>
    <col min="9170" max="9171" width="10.85546875" style="1" customWidth="1"/>
    <col min="9172" max="9200" width="9" style="1" customWidth="1"/>
    <col min="9201" max="9351" width="12.5703125" style="1"/>
    <col min="9352" max="9352" width="42.5703125" style="1" customWidth="1"/>
    <col min="9353" max="9353" width="9" style="1" customWidth="1"/>
    <col min="9354" max="9354" width="10.28515625" style="1" customWidth="1"/>
    <col min="9355" max="9355" width="10.42578125" style="1" customWidth="1"/>
    <col min="9356" max="9374" width="10" style="1" customWidth="1"/>
    <col min="9375" max="9381" width="9.7109375" style="1" customWidth="1"/>
    <col min="9382" max="9387" width="12.5703125" style="1"/>
    <col min="9388" max="9388" width="44.7109375" style="1" customWidth="1"/>
    <col min="9389" max="9392" width="7.42578125" style="1" customWidth="1"/>
    <col min="9393" max="9393" width="7.5703125" style="1" customWidth="1"/>
    <col min="9394" max="9395" width="7.42578125" style="1" customWidth="1"/>
    <col min="9396" max="9397" width="9" style="1" bestFit="1" customWidth="1"/>
    <col min="9398" max="9398" width="9.42578125" style="1" customWidth="1"/>
    <col min="9399" max="9399" width="9.28515625" style="1" customWidth="1"/>
    <col min="9400" max="9400" width="9.85546875" style="1" customWidth="1"/>
    <col min="9401" max="9405" width="7.42578125" style="1" customWidth="1"/>
    <col min="9406" max="9406" width="7.85546875" style="1" bestFit="1" customWidth="1"/>
    <col min="9407" max="9407" width="7.42578125" style="1" customWidth="1"/>
    <col min="9408" max="9408" width="8.28515625" style="1" bestFit="1" customWidth="1"/>
    <col min="9409" max="9409" width="8.7109375" style="1" customWidth="1"/>
    <col min="9410" max="9410" width="8.5703125" style="1" customWidth="1"/>
    <col min="9411" max="9423" width="8.7109375" style="1" customWidth="1"/>
    <col min="9424" max="9424" width="12.5703125" style="1"/>
    <col min="9425" max="9425" width="45.85546875" style="1" customWidth="1"/>
    <col min="9426" max="9427" width="10.85546875" style="1" customWidth="1"/>
    <col min="9428" max="9456" width="9" style="1" customWidth="1"/>
    <col min="9457" max="9607" width="12.5703125" style="1"/>
    <col min="9608" max="9608" width="42.5703125" style="1" customWidth="1"/>
    <col min="9609" max="9609" width="9" style="1" customWidth="1"/>
    <col min="9610" max="9610" width="10.28515625" style="1" customWidth="1"/>
    <col min="9611" max="9611" width="10.42578125" style="1" customWidth="1"/>
    <col min="9612" max="9630" width="10" style="1" customWidth="1"/>
    <col min="9631" max="9637" width="9.7109375" style="1" customWidth="1"/>
    <col min="9638" max="9643" width="12.5703125" style="1"/>
    <col min="9644" max="9644" width="44.7109375" style="1" customWidth="1"/>
    <col min="9645" max="9648" width="7.42578125" style="1" customWidth="1"/>
    <col min="9649" max="9649" width="7.5703125" style="1" customWidth="1"/>
    <col min="9650" max="9651" width="7.42578125" style="1" customWidth="1"/>
    <col min="9652" max="9653" width="9" style="1" bestFit="1" customWidth="1"/>
    <col min="9654" max="9654" width="9.42578125" style="1" customWidth="1"/>
    <col min="9655" max="9655" width="9.28515625" style="1" customWidth="1"/>
    <col min="9656" max="9656" width="9.85546875" style="1" customWidth="1"/>
    <col min="9657" max="9661" width="7.42578125" style="1" customWidth="1"/>
    <col min="9662" max="9662" width="7.85546875" style="1" bestFit="1" customWidth="1"/>
    <col min="9663" max="9663" width="7.42578125" style="1" customWidth="1"/>
    <col min="9664" max="9664" width="8.28515625" style="1" bestFit="1" customWidth="1"/>
    <col min="9665" max="9665" width="8.7109375" style="1" customWidth="1"/>
    <col min="9666" max="9666" width="8.5703125" style="1" customWidth="1"/>
    <col min="9667" max="9679" width="8.7109375" style="1" customWidth="1"/>
    <col min="9680" max="9680" width="12.5703125" style="1"/>
    <col min="9681" max="9681" width="45.85546875" style="1" customWidth="1"/>
    <col min="9682" max="9683" width="10.85546875" style="1" customWidth="1"/>
    <col min="9684" max="9712" width="9" style="1" customWidth="1"/>
    <col min="9713" max="9863" width="12.5703125" style="1"/>
    <col min="9864" max="9864" width="42.5703125" style="1" customWidth="1"/>
    <col min="9865" max="9865" width="9" style="1" customWidth="1"/>
    <col min="9866" max="9866" width="10.28515625" style="1" customWidth="1"/>
    <col min="9867" max="9867" width="10.42578125" style="1" customWidth="1"/>
    <col min="9868" max="9886" width="10" style="1" customWidth="1"/>
    <col min="9887" max="9893" width="9.7109375" style="1" customWidth="1"/>
    <col min="9894" max="9899" width="12.5703125" style="1"/>
    <col min="9900" max="9900" width="44.7109375" style="1" customWidth="1"/>
    <col min="9901" max="9904" width="7.42578125" style="1" customWidth="1"/>
    <col min="9905" max="9905" width="7.5703125" style="1" customWidth="1"/>
    <col min="9906" max="9907" width="7.42578125" style="1" customWidth="1"/>
    <col min="9908" max="9909" width="9" style="1" bestFit="1" customWidth="1"/>
    <col min="9910" max="9910" width="9.42578125" style="1" customWidth="1"/>
    <col min="9911" max="9911" width="9.28515625" style="1" customWidth="1"/>
    <col min="9912" max="9912" width="9.85546875" style="1" customWidth="1"/>
    <col min="9913" max="9917" width="7.42578125" style="1" customWidth="1"/>
    <col min="9918" max="9918" width="7.85546875" style="1" bestFit="1" customWidth="1"/>
    <col min="9919" max="9919" width="7.42578125" style="1" customWidth="1"/>
    <col min="9920" max="9920" width="8.28515625" style="1" bestFit="1" customWidth="1"/>
    <col min="9921" max="9921" width="8.7109375" style="1" customWidth="1"/>
    <col min="9922" max="9922" width="8.5703125" style="1" customWidth="1"/>
    <col min="9923" max="9935" width="8.7109375" style="1" customWidth="1"/>
    <col min="9936" max="9936" width="12.5703125" style="1"/>
    <col min="9937" max="9937" width="45.85546875" style="1" customWidth="1"/>
    <col min="9938" max="9939" width="10.85546875" style="1" customWidth="1"/>
    <col min="9940" max="9968" width="9" style="1" customWidth="1"/>
    <col min="9969" max="10119" width="12.5703125" style="1"/>
    <col min="10120" max="10120" width="42.5703125" style="1" customWidth="1"/>
    <col min="10121" max="10121" width="9" style="1" customWidth="1"/>
    <col min="10122" max="10122" width="10.28515625" style="1" customWidth="1"/>
    <col min="10123" max="10123" width="10.42578125" style="1" customWidth="1"/>
    <col min="10124" max="10142" width="10" style="1" customWidth="1"/>
    <col min="10143" max="10149" width="9.7109375" style="1" customWidth="1"/>
    <col min="10150" max="10155" width="12.5703125" style="1"/>
    <col min="10156" max="10156" width="44.7109375" style="1" customWidth="1"/>
    <col min="10157" max="10160" width="7.42578125" style="1" customWidth="1"/>
    <col min="10161" max="10161" width="7.5703125" style="1" customWidth="1"/>
    <col min="10162" max="10163" width="7.42578125" style="1" customWidth="1"/>
    <col min="10164" max="10165" width="9" style="1" bestFit="1" customWidth="1"/>
    <col min="10166" max="10166" width="9.42578125" style="1" customWidth="1"/>
    <col min="10167" max="10167" width="9.28515625" style="1" customWidth="1"/>
    <col min="10168" max="10168" width="9.85546875" style="1" customWidth="1"/>
    <col min="10169" max="10173" width="7.42578125" style="1" customWidth="1"/>
    <col min="10174" max="10174" width="7.85546875" style="1" bestFit="1" customWidth="1"/>
    <col min="10175" max="10175" width="7.42578125" style="1" customWidth="1"/>
    <col min="10176" max="10176" width="8.28515625" style="1" bestFit="1" customWidth="1"/>
    <col min="10177" max="10177" width="8.7109375" style="1" customWidth="1"/>
    <col min="10178" max="10178" width="8.5703125" style="1" customWidth="1"/>
    <col min="10179" max="10191" width="8.7109375" style="1" customWidth="1"/>
    <col min="10192" max="10192" width="12.5703125" style="1"/>
    <col min="10193" max="10193" width="45.85546875" style="1" customWidth="1"/>
    <col min="10194" max="10195" width="10.85546875" style="1" customWidth="1"/>
    <col min="10196" max="10224" width="9" style="1" customWidth="1"/>
    <col min="10225" max="10375" width="12.5703125" style="1"/>
    <col min="10376" max="10376" width="42.5703125" style="1" customWidth="1"/>
    <col min="10377" max="10377" width="9" style="1" customWidth="1"/>
    <col min="10378" max="10378" width="10.28515625" style="1" customWidth="1"/>
    <col min="10379" max="10379" width="10.42578125" style="1" customWidth="1"/>
    <col min="10380" max="10398" width="10" style="1" customWidth="1"/>
    <col min="10399" max="10405" width="9.7109375" style="1" customWidth="1"/>
    <col min="10406" max="10411" width="12.5703125" style="1"/>
    <col min="10412" max="10412" width="44.7109375" style="1" customWidth="1"/>
    <col min="10413" max="10416" width="7.42578125" style="1" customWidth="1"/>
    <col min="10417" max="10417" width="7.5703125" style="1" customWidth="1"/>
    <col min="10418" max="10419" width="7.42578125" style="1" customWidth="1"/>
    <col min="10420" max="10421" width="9" style="1" bestFit="1" customWidth="1"/>
    <col min="10422" max="10422" width="9.42578125" style="1" customWidth="1"/>
    <col min="10423" max="10423" width="9.28515625" style="1" customWidth="1"/>
    <col min="10424" max="10424" width="9.85546875" style="1" customWidth="1"/>
    <col min="10425" max="10429" width="7.42578125" style="1" customWidth="1"/>
    <col min="10430" max="10430" width="7.85546875" style="1" bestFit="1" customWidth="1"/>
    <col min="10431" max="10431" width="7.42578125" style="1" customWidth="1"/>
    <col min="10432" max="10432" width="8.28515625" style="1" bestFit="1" customWidth="1"/>
    <col min="10433" max="10433" width="8.7109375" style="1" customWidth="1"/>
    <col min="10434" max="10434" width="8.5703125" style="1" customWidth="1"/>
    <col min="10435" max="10447" width="8.7109375" style="1" customWidth="1"/>
    <col min="10448" max="10448" width="12.5703125" style="1"/>
    <col min="10449" max="10449" width="45.85546875" style="1" customWidth="1"/>
    <col min="10450" max="10451" width="10.85546875" style="1" customWidth="1"/>
    <col min="10452" max="10480" width="9" style="1" customWidth="1"/>
    <col min="10481" max="10631" width="12.5703125" style="1"/>
    <col min="10632" max="10632" width="42.5703125" style="1" customWidth="1"/>
    <col min="10633" max="10633" width="9" style="1" customWidth="1"/>
    <col min="10634" max="10634" width="10.28515625" style="1" customWidth="1"/>
    <col min="10635" max="10635" width="10.42578125" style="1" customWidth="1"/>
    <col min="10636" max="10654" width="10" style="1" customWidth="1"/>
    <col min="10655" max="10661" width="9.7109375" style="1" customWidth="1"/>
    <col min="10662" max="10667" width="12.5703125" style="1"/>
    <col min="10668" max="10668" width="44.7109375" style="1" customWidth="1"/>
    <col min="10669" max="10672" width="7.42578125" style="1" customWidth="1"/>
    <col min="10673" max="10673" width="7.5703125" style="1" customWidth="1"/>
    <col min="10674" max="10675" width="7.42578125" style="1" customWidth="1"/>
    <col min="10676" max="10677" width="9" style="1" bestFit="1" customWidth="1"/>
    <col min="10678" max="10678" width="9.42578125" style="1" customWidth="1"/>
    <col min="10679" max="10679" width="9.28515625" style="1" customWidth="1"/>
    <col min="10680" max="10680" width="9.85546875" style="1" customWidth="1"/>
    <col min="10681" max="10685" width="7.42578125" style="1" customWidth="1"/>
    <col min="10686" max="10686" width="7.85546875" style="1" bestFit="1" customWidth="1"/>
    <col min="10687" max="10687" width="7.42578125" style="1" customWidth="1"/>
    <col min="10688" max="10688" width="8.28515625" style="1" bestFit="1" customWidth="1"/>
    <col min="10689" max="10689" width="8.7109375" style="1" customWidth="1"/>
    <col min="10690" max="10690" width="8.5703125" style="1" customWidth="1"/>
    <col min="10691" max="10703" width="8.7109375" style="1" customWidth="1"/>
    <col min="10704" max="10704" width="12.5703125" style="1"/>
    <col min="10705" max="10705" width="45.85546875" style="1" customWidth="1"/>
    <col min="10706" max="10707" width="10.85546875" style="1" customWidth="1"/>
    <col min="10708" max="10736" width="9" style="1" customWidth="1"/>
    <col min="10737" max="10887" width="12.5703125" style="1"/>
    <col min="10888" max="10888" width="42.5703125" style="1" customWidth="1"/>
    <col min="10889" max="10889" width="9" style="1" customWidth="1"/>
    <col min="10890" max="10890" width="10.28515625" style="1" customWidth="1"/>
    <col min="10891" max="10891" width="10.42578125" style="1" customWidth="1"/>
    <col min="10892" max="10910" width="10" style="1" customWidth="1"/>
    <col min="10911" max="10917" width="9.7109375" style="1" customWidth="1"/>
    <col min="10918" max="10923" width="12.5703125" style="1"/>
    <col min="10924" max="10924" width="44.7109375" style="1" customWidth="1"/>
    <col min="10925" max="10928" width="7.42578125" style="1" customWidth="1"/>
    <col min="10929" max="10929" width="7.5703125" style="1" customWidth="1"/>
    <col min="10930" max="10931" width="7.42578125" style="1" customWidth="1"/>
    <col min="10932" max="10933" width="9" style="1" bestFit="1" customWidth="1"/>
    <col min="10934" max="10934" width="9.42578125" style="1" customWidth="1"/>
    <col min="10935" max="10935" width="9.28515625" style="1" customWidth="1"/>
    <col min="10936" max="10936" width="9.85546875" style="1" customWidth="1"/>
    <col min="10937" max="10941" width="7.42578125" style="1" customWidth="1"/>
    <col min="10942" max="10942" width="7.85546875" style="1" bestFit="1" customWidth="1"/>
    <col min="10943" max="10943" width="7.42578125" style="1" customWidth="1"/>
    <col min="10944" max="10944" width="8.28515625" style="1" bestFit="1" customWidth="1"/>
    <col min="10945" max="10945" width="8.7109375" style="1" customWidth="1"/>
    <col min="10946" max="10946" width="8.5703125" style="1" customWidth="1"/>
    <col min="10947" max="10959" width="8.7109375" style="1" customWidth="1"/>
    <col min="10960" max="10960" width="12.5703125" style="1"/>
    <col min="10961" max="10961" width="45.85546875" style="1" customWidth="1"/>
    <col min="10962" max="10963" width="10.85546875" style="1" customWidth="1"/>
    <col min="10964" max="10992" width="9" style="1" customWidth="1"/>
    <col min="10993" max="11143" width="12.5703125" style="1"/>
    <col min="11144" max="11144" width="42.5703125" style="1" customWidth="1"/>
    <col min="11145" max="11145" width="9" style="1" customWidth="1"/>
    <col min="11146" max="11146" width="10.28515625" style="1" customWidth="1"/>
    <col min="11147" max="11147" width="10.42578125" style="1" customWidth="1"/>
    <col min="11148" max="11166" width="10" style="1" customWidth="1"/>
    <col min="11167" max="11173" width="9.7109375" style="1" customWidth="1"/>
    <col min="11174" max="11179" width="12.5703125" style="1"/>
    <col min="11180" max="11180" width="44.7109375" style="1" customWidth="1"/>
    <col min="11181" max="11184" width="7.42578125" style="1" customWidth="1"/>
    <col min="11185" max="11185" width="7.5703125" style="1" customWidth="1"/>
    <col min="11186" max="11187" width="7.42578125" style="1" customWidth="1"/>
    <col min="11188" max="11189" width="9" style="1" bestFit="1" customWidth="1"/>
    <col min="11190" max="11190" width="9.42578125" style="1" customWidth="1"/>
    <col min="11191" max="11191" width="9.28515625" style="1" customWidth="1"/>
    <col min="11192" max="11192" width="9.85546875" style="1" customWidth="1"/>
    <col min="11193" max="11197" width="7.42578125" style="1" customWidth="1"/>
    <col min="11198" max="11198" width="7.85546875" style="1" bestFit="1" customWidth="1"/>
    <col min="11199" max="11199" width="7.42578125" style="1" customWidth="1"/>
    <col min="11200" max="11200" width="8.28515625" style="1" bestFit="1" customWidth="1"/>
    <col min="11201" max="11201" width="8.7109375" style="1" customWidth="1"/>
    <col min="11202" max="11202" width="8.5703125" style="1" customWidth="1"/>
    <col min="11203" max="11215" width="8.7109375" style="1" customWidth="1"/>
    <col min="11216" max="11216" width="12.5703125" style="1"/>
    <col min="11217" max="11217" width="45.85546875" style="1" customWidth="1"/>
    <col min="11218" max="11219" width="10.85546875" style="1" customWidth="1"/>
    <col min="11220" max="11248" width="9" style="1" customWidth="1"/>
    <col min="11249" max="11399" width="12.5703125" style="1"/>
    <col min="11400" max="11400" width="42.5703125" style="1" customWidth="1"/>
    <col min="11401" max="11401" width="9" style="1" customWidth="1"/>
    <col min="11402" max="11402" width="10.28515625" style="1" customWidth="1"/>
    <col min="11403" max="11403" width="10.42578125" style="1" customWidth="1"/>
    <col min="11404" max="11422" width="10" style="1" customWidth="1"/>
    <col min="11423" max="11429" width="9.7109375" style="1" customWidth="1"/>
    <col min="11430" max="11435" width="12.5703125" style="1"/>
    <col min="11436" max="11436" width="44.7109375" style="1" customWidth="1"/>
    <col min="11437" max="11440" width="7.42578125" style="1" customWidth="1"/>
    <col min="11441" max="11441" width="7.5703125" style="1" customWidth="1"/>
    <col min="11442" max="11443" width="7.42578125" style="1" customWidth="1"/>
    <col min="11444" max="11445" width="9" style="1" bestFit="1" customWidth="1"/>
    <col min="11446" max="11446" width="9.42578125" style="1" customWidth="1"/>
    <col min="11447" max="11447" width="9.28515625" style="1" customWidth="1"/>
    <col min="11448" max="11448" width="9.85546875" style="1" customWidth="1"/>
    <col min="11449" max="11453" width="7.42578125" style="1" customWidth="1"/>
    <col min="11454" max="11454" width="7.85546875" style="1" bestFit="1" customWidth="1"/>
    <col min="11455" max="11455" width="7.42578125" style="1" customWidth="1"/>
    <col min="11456" max="11456" width="8.28515625" style="1" bestFit="1" customWidth="1"/>
    <col min="11457" max="11457" width="8.7109375" style="1" customWidth="1"/>
    <col min="11458" max="11458" width="8.5703125" style="1" customWidth="1"/>
    <col min="11459" max="11471" width="8.7109375" style="1" customWidth="1"/>
    <col min="11472" max="11472" width="12.5703125" style="1"/>
    <col min="11473" max="11473" width="45.85546875" style="1" customWidth="1"/>
    <col min="11474" max="11475" width="10.85546875" style="1" customWidth="1"/>
    <col min="11476" max="11504" width="9" style="1" customWidth="1"/>
    <col min="11505" max="11655" width="12.5703125" style="1"/>
    <col min="11656" max="11656" width="42.5703125" style="1" customWidth="1"/>
    <col min="11657" max="11657" width="9" style="1" customWidth="1"/>
    <col min="11658" max="11658" width="10.28515625" style="1" customWidth="1"/>
    <col min="11659" max="11659" width="10.42578125" style="1" customWidth="1"/>
    <col min="11660" max="11678" width="10" style="1" customWidth="1"/>
    <col min="11679" max="11685" width="9.7109375" style="1" customWidth="1"/>
    <col min="11686" max="11691" width="12.5703125" style="1"/>
    <col min="11692" max="11692" width="44.7109375" style="1" customWidth="1"/>
    <col min="11693" max="11696" width="7.42578125" style="1" customWidth="1"/>
    <col min="11697" max="11697" width="7.5703125" style="1" customWidth="1"/>
    <col min="11698" max="11699" width="7.42578125" style="1" customWidth="1"/>
    <col min="11700" max="11701" width="9" style="1" bestFit="1" customWidth="1"/>
    <col min="11702" max="11702" width="9.42578125" style="1" customWidth="1"/>
    <col min="11703" max="11703" width="9.28515625" style="1" customWidth="1"/>
    <col min="11704" max="11704" width="9.85546875" style="1" customWidth="1"/>
    <col min="11705" max="11709" width="7.42578125" style="1" customWidth="1"/>
    <col min="11710" max="11710" width="7.85546875" style="1" bestFit="1" customWidth="1"/>
    <col min="11711" max="11711" width="7.42578125" style="1" customWidth="1"/>
    <col min="11712" max="11712" width="8.28515625" style="1" bestFit="1" customWidth="1"/>
    <col min="11713" max="11713" width="8.7109375" style="1" customWidth="1"/>
    <col min="11714" max="11714" width="8.5703125" style="1" customWidth="1"/>
    <col min="11715" max="11727" width="8.7109375" style="1" customWidth="1"/>
    <col min="11728" max="11728" width="12.5703125" style="1"/>
    <col min="11729" max="11729" width="45.85546875" style="1" customWidth="1"/>
    <col min="11730" max="11731" width="10.85546875" style="1" customWidth="1"/>
    <col min="11732" max="11760" width="9" style="1" customWidth="1"/>
    <col min="11761" max="11911" width="12.5703125" style="1"/>
    <col min="11912" max="11912" width="42.5703125" style="1" customWidth="1"/>
    <col min="11913" max="11913" width="9" style="1" customWidth="1"/>
    <col min="11914" max="11914" width="10.28515625" style="1" customWidth="1"/>
    <col min="11915" max="11915" width="10.42578125" style="1" customWidth="1"/>
    <col min="11916" max="11934" width="10" style="1" customWidth="1"/>
    <col min="11935" max="11941" width="9.7109375" style="1" customWidth="1"/>
    <col min="11942" max="11947" width="12.5703125" style="1"/>
    <col min="11948" max="11948" width="44.7109375" style="1" customWidth="1"/>
    <col min="11949" max="11952" width="7.42578125" style="1" customWidth="1"/>
    <col min="11953" max="11953" width="7.5703125" style="1" customWidth="1"/>
    <col min="11954" max="11955" width="7.42578125" style="1" customWidth="1"/>
    <col min="11956" max="11957" width="9" style="1" bestFit="1" customWidth="1"/>
    <col min="11958" max="11958" width="9.42578125" style="1" customWidth="1"/>
    <col min="11959" max="11959" width="9.28515625" style="1" customWidth="1"/>
    <col min="11960" max="11960" width="9.85546875" style="1" customWidth="1"/>
    <col min="11961" max="11965" width="7.42578125" style="1" customWidth="1"/>
    <col min="11966" max="11966" width="7.85546875" style="1" bestFit="1" customWidth="1"/>
    <col min="11967" max="11967" width="7.42578125" style="1" customWidth="1"/>
    <col min="11968" max="11968" width="8.28515625" style="1" bestFit="1" customWidth="1"/>
    <col min="11969" max="11969" width="8.7109375" style="1" customWidth="1"/>
    <col min="11970" max="11970" width="8.5703125" style="1" customWidth="1"/>
    <col min="11971" max="11983" width="8.7109375" style="1" customWidth="1"/>
    <col min="11984" max="11984" width="12.5703125" style="1"/>
    <col min="11985" max="11985" width="45.85546875" style="1" customWidth="1"/>
    <col min="11986" max="11987" width="10.85546875" style="1" customWidth="1"/>
    <col min="11988" max="12016" width="9" style="1" customWidth="1"/>
    <col min="12017" max="12167" width="12.5703125" style="1"/>
    <col min="12168" max="12168" width="42.5703125" style="1" customWidth="1"/>
    <col min="12169" max="12169" width="9" style="1" customWidth="1"/>
    <col min="12170" max="12170" width="10.28515625" style="1" customWidth="1"/>
    <col min="12171" max="12171" width="10.42578125" style="1" customWidth="1"/>
    <col min="12172" max="12190" width="10" style="1" customWidth="1"/>
    <col min="12191" max="12197" width="9.7109375" style="1" customWidth="1"/>
    <col min="12198" max="12203" width="12.5703125" style="1"/>
    <col min="12204" max="12204" width="44.7109375" style="1" customWidth="1"/>
    <col min="12205" max="12208" width="7.42578125" style="1" customWidth="1"/>
    <col min="12209" max="12209" width="7.5703125" style="1" customWidth="1"/>
    <col min="12210" max="12211" width="7.42578125" style="1" customWidth="1"/>
    <col min="12212" max="12213" width="9" style="1" bestFit="1" customWidth="1"/>
    <col min="12214" max="12214" width="9.42578125" style="1" customWidth="1"/>
    <col min="12215" max="12215" width="9.28515625" style="1" customWidth="1"/>
    <col min="12216" max="12216" width="9.85546875" style="1" customWidth="1"/>
    <col min="12217" max="12221" width="7.42578125" style="1" customWidth="1"/>
    <col min="12222" max="12222" width="7.85546875" style="1" bestFit="1" customWidth="1"/>
    <col min="12223" max="12223" width="7.42578125" style="1" customWidth="1"/>
    <col min="12224" max="12224" width="8.28515625" style="1" bestFit="1" customWidth="1"/>
    <col min="12225" max="12225" width="8.7109375" style="1" customWidth="1"/>
    <col min="12226" max="12226" width="8.5703125" style="1" customWidth="1"/>
    <col min="12227" max="12239" width="8.7109375" style="1" customWidth="1"/>
    <col min="12240" max="12240" width="12.5703125" style="1"/>
    <col min="12241" max="12241" width="45.85546875" style="1" customWidth="1"/>
    <col min="12242" max="12243" width="10.85546875" style="1" customWidth="1"/>
    <col min="12244" max="12272" width="9" style="1" customWidth="1"/>
    <col min="12273" max="12423" width="12.5703125" style="1"/>
    <col min="12424" max="12424" width="42.5703125" style="1" customWidth="1"/>
    <col min="12425" max="12425" width="9" style="1" customWidth="1"/>
    <col min="12426" max="12426" width="10.28515625" style="1" customWidth="1"/>
    <col min="12427" max="12427" width="10.42578125" style="1" customWidth="1"/>
    <col min="12428" max="12446" width="10" style="1" customWidth="1"/>
    <col min="12447" max="12453" width="9.7109375" style="1" customWidth="1"/>
    <col min="12454" max="12459" width="12.5703125" style="1"/>
    <col min="12460" max="12460" width="44.7109375" style="1" customWidth="1"/>
    <col min="12461" max="12464" width="7.42578125" style="1" customWidth="1"/>
    <col min="12465" max="12465" width="7.5703125" style="1" customWidth="1"/>
    <col min="12466" max="12467" width="7.42578125" style="1" customWidth="1"/>
    <col min="12468" max="12469" width="9" style="1" bestFit="1" customWidth="1"/>
    <col min="12470" max="12470" width="9.42578125" style="1" customWidth="1"/>
    <col min="12471" max="12471" width="9.28515625" style="1" customWidth="1"/>
    <col min="12472" max="12472" width="9.85546875" style="1" customWidth="1"/>
    <col min="12473" max="12477" width="7.42578125" style="1" customWidth="1"/>
    <col min="12478" max="12478" width="7.85546875" style="1" bestFit="1" customWidth="1"/>
    <col min="12479" max="12479" width="7.42578125" style="1" customWidth="1"/>
    <col min="12480" max="12480" width="8.28515625" style="1" bestFit="1" customWidth="1"/>
    <col min="12481" max="12481" width="8.7109375" style="1" customWidth="1"/>
    <col min="12482" max="12482" width="8.5703125" style="1" customWidth="1"/>
    <col min="12483" max="12495" width="8.7109375" style="1" customWidth="1"/>
    <col min="12496" max="12496" width="12.5703125" style="1"/>
    <col min="12497" max="12497" width="45.85546875" style="1" customWidth="1"/>
    <col min="12498" max="12499" width="10.85546875" style="1" customWidth="1"/>
    <col min="12500" max="12528" width="9" style="1" customWidth="1"/>
    <col min="12529" max="12679" width="12.5703125" style="1"/>
    <col min="12680" max="12680" width="42.5703125" style="1" customWidth="1"/>
    <col min="12681" max="12681" width="9" style="1" customWidth="1"/>
    <col min="12682" max="12682" width="10.28515625" style="1" customWidth="1"/>
    <col min="12683" max="12683" width="10.42578125" style="1" customWidth="1"/>
    <col min="12684" max="12702" width="10" style="1" customWidth="1"/>
    <col min="12703" max="12709" width="9.7109375" style="1" customWidth="1"/>
    <col min="12710" max="12715" width="12.5703125" style="1"/>
    <col min="12716" max="12716" width="44.7109375" style="1" customWidth="1"/>
    <col min="12717" max="12720" width="7.42578125" style="1" customWidth="1"/>
    <col min="12721" max="12721" width="7.5703125" style="1" customWidth="1"/>
    <col min="12722" max="12723" width="7.42578125" style="1" customWidth="1"/>
    <col min="12724" max="12725" width="9" style="1" bestFit="1" customWidth="1"/>
    <col min="12726" max="12726" width="9.42578125" style="1" customWidth="1"/>
    <col min="12727" max="12727" width="9.28515625" style="1" customWidth="1"/>
    <col min="12728" max="12728" width="9.85546875" style="1" customWidth="1"/>
    <col min="12729" max="12733" width="7.42578125" style="1" customWidth="1"/>
    <col min="12734" max="12734" width="7.85546875" style="1" bestFit="1" customWidth="1"/>
    <col min="12735" max="12735" width="7.42578125" style="1" customWidth="1"/>
    <col min="12736" max="12736" width="8.28515625" style="1" bestFit="1" customWidth="1"/>
    <col min="12737" max="12737" width="8.7109375" style="1" customWidth="1"/>
    <col min="12738" max="12738" width="8.5703125" style="1" customWidth="1"/>
    <col min="12739" max="12751" width="8.7109375" style="1" customWidth="1"/>
    <col min="12752" max="12752" width="12.5703125" style="1"/>
    <col min="12753" max="12753" width="45.85546875" style="1" customWidth="1"/>
    <col min="12754" max="12755" width="10.85546875" style="1" customWidth="1"/>
    <col min="12756" max="12784" width="9" style="1" customWidth="1"/>
    <col min="12785" max="12935" width="12.5703125" style="1"/>
    <col min="12936" max="12936" width="42.5703125" style="1" customWidth="1"/>
    <col min="12937" max="12937" width="9" style="1" customWidth="1"/>
    <col min="12938" max="12938" width="10.28515625" style="1" customWidth="1"/>
    <col min="12939" max="12939" width="10.42578125" style="1" customWidth="1"/>
    <col min="12940" max="12958" width="10" style="1" customWidth="1"/>
    <col min="12959" max="12965" width="9.7109375" style="1" customWidth="1"/>
    <col min="12966" max="12971" width="12.5703125" style="1"/>
    <col min="12972" max="12972" width="44.7109375" style="1" customWidth="1"/>
    <col min="12973" max="12976" width="7.42578125" style="1" customWidth="1"/>
    <col min="12977" max="12977" width="7.5703125" style="1" customWidth="1"/>
    <col min="12978" max="12979" width="7.42578125" style="1" customWidth="1"/>
    <col min="12980" max="12981" width="9" style="1" bestFit="1" customWidth="1"/>
    <col min="12982" max="12982" width="9.42578125" style="1" customWidth="1"/>
    <col min="12983" max="12983" width="9.28515625" style="1" customWidth="1"/>
    <col min="12984" max="12984" width="9.85546875" style="1" customWidth="1"/>
    <col min="12985" max="12989" width="7.42578125" style="1" customWidth="1"/>
    <col min="12990" max="12990" width="7.85546875" style="1" bestFit="1" customWidth="1"/>
    <col min="12991" max="12991" width="7.42578125" style="1" customWidth="1"/>
    <col min="12992" max="12992" width="8.28515625" style="1" bestFit="1" customWidth="1"/>
    <col min="12993" max="12993" width="8.7109375" style="1" customWidth="1"/>
    <col min="12994" max="12994" width="8.5703125" style="1" customWidth="1"/>
    <col min="12995" max="13007" width="8.7109375" style="1" customWidth="1"/>
    <col min="13008" max="13008" width="12.5703125" style="1"/>
    <col min="13009" max="13009" width="45.85546875" style="1" customWidth="1"/>
    <col min="13010" max="13011" width="10.85546875" style="1" customWidth="1"/>
    <col min="13012" max="13040" width="9" style="1" customWidth="1"/>
    <col min="13041" max="13191" width="12.5703125" style="1"/>
    <col min="13192" max="13192" width="42.5703125" style="1" customWidth="1"/>
    <col min="13193" max="13193" width="9" style="1" customWidth="1"/>
    <col min="13194" max="13194" width="10.28515625" style="1" customWidth="1"/>
    <col min="13195" max="13195" width="10.42578125" style="1" customWidth="1"/>
    <col min="13196" max="13214" width="10" style="1" customWidth="1"/>
    <col min="13215" max="13221" width="9.7109375" style="1" customWidth="1"/>
    <col min="13222" max="13227" width="12.5703125" style="1"/>
    <col min="13228" max="13228" width="44.7109375" style="1" customWidth="1"/>
    <col min="13229" max="13232" width="7.42578125" style="1" customWidth="1"/>
    <col min="13233" max="13233" width="7.5703125" style="1" customWidth="1"/>
    <col min="13234" max="13235" width="7.42578125" style="1" customWidth="1"/>
    <col min="13236" max="13237" width="9" style="1" bestFit="1" customWidth="1"/>
    <col min="13238" max="13238" width="9.42578125" style="1" customWidth="1"/>
    <col min="13239" max="13239" width="9.28515625" style="1" customWidth="1"/>
    <col min="13240" max="13240" width="9.85546875" style="1" customWidth="1"/>
    <col min="13241" max="13245" width="7.42578125" style="1" customWidth="1"/>
    <col min="13246" max="13246" width="7.85546875" style="1" bestFit="1" customWidth="1"/>
    <col min="13247" max="13247" width="7.42578125" style="1" customWidth="1"/>
    <col min="13248" max="13248" width="8.28515625" style="1" bestFit="1" customWidth="1"/>
    <col min="13249" max="13249" width="8.7109375" style="1" customWidth="1"/>
    <col min="13250" max="13250" width="8.5703125" style="1" customWidth="1"/>
    <col min="13251" max="13263" width="8.7109375" style="1" customWidth="1"/>
    <col min="13264" max="13264" width="12.5703125" style="1"/>
    <col min="13265" max="13265" width="45.85546875" style="1" customWidth="1"/>
    <col min="13266" max="13267" width="10.85546875" style="1" customWidth="1"/>
    <col min="13268" max="13296" width="9" style="1" customWidth="1"/>
    <col min="13297" max="13447" width="12.5703125" style="1"/>
    <col min="13448" max="13448" width="42.5703125" style="1" customWidth="1"/>
    <col min="13449" max="13449" width="9" style="1" customWidth="1"/>
    <col min="13450" max="13450" width="10.28515625" style="1" customWidth="1"/>
    <col min="13451" max="13451" width="10.42578125" style="1" customWidth="1"/>
    <col min="13452" max="13470" width="10" style="1" customWidth="1"/>
    <col min="13471" max="13477" width="9.7109375" style="1" customWidth="1"/>
    <col min="13478" max="13483" width="12.5703125" style="1"/>
    <col min="13484" max="13484" width="44.7109375" style="1" customWidth="1"/>
    <col min="13485" max="13488" width="7.42578125" style="1" customWidth="1"/>
    <col min="13489" max="13489" width="7.5703125" style="1" customWidth="1"/>
    <col min="13490" max="13491" width="7.42578125" style="1" customWidth="1"/>
    <col min="13492" max="13493" width="9" style="1" bestFit="1" customWidth="1"/>
    <col min="13494" max="13494" width="9.42578125" style="1" customWidth="1"/>
    <col min="13495" max="13495" width="9.28515625" style="1" customWidth="1"/>
    <col min="13496" max="13496" width="9.85546875" style="1" customWidth="1"/>
    <col min="13497" max="13501" width="7.42578125" style="1" customWidth="1"/>
    <col min="13502" max="13502" width="7.85546875" style="1" bestFit="1" customWidth="1"/>
    <col min="13503" max="13503" width="7.42578125" style="1" customWidth="1"/>
    <col min="13504" max="13504" width="8.28515625" style="1" bestFit="1" customWidth="1"/>
    <col min="13505" max="13505" width="8.7109375" style="1" customWidth="1"/>
    <col min="13506" max="13506" width="8.5703125" style="1" customWidth="1"/>
    <col min="13507" max="13519" width="8.7109375" style="1" customWidth="1"/>
    <col min="13520" max="13520" width="12.5703125" style="1"/>
    <col min="13521" max="13521" width="45.85546875" style="1" customWidth="1"/>
    <col min="13522" max="13523" width="10.85546875" style="1" customWidth="1"/>
    <col min="13524" max="13552" width="9" style="1" customWidth="1"/>
    <col min="13553" max="13703" width="12.5703125" style="1"/>
    <col min="13704" max="13704" width="42.5703125" style="1" customWidth="1"/>
    <col min="13705" max="13705" width="9" style="1" customWidth="1"/>
    <col min="13706" max="13706" width="10.28515625" style="1" customWidth="1"/>
    <col min="13707" max="13707" width="10.42578125" style="1" customWidth="1"/>
    <col min="13708" max="13726" width="10" style="1" customWidth="1"/>
    <col min="13727" max="13733" width="9.7109375" style="1" customWidth="1"/>
    <col min="13734" max="13739" width="12.5703125" style="1"/>
    <col min="13740" max="13740" width="44.7109375" style="1" customWidth="1"/>
    <col min="13741" max="13744" width="7.42578125" style="1" customWidth="1"/>
    <col min="13745" max="13745" width="7.5703125" style="1" customWidth="1"/>
    <col min="13746" max="13747" width="7.42578125" style="1" customWidth="1"/>
    <col min="13748" max="13749" width="9" style="1" bestFit="1" customWidth="1"/>
    <col min="13750" max="13750" width="9.42578125" style="1" customWidth="1"/>
    <col min="13751" max="13751" width="9.28515625" style="1" customWidth="1"/>
    <col min="13752" max="13752" width="9.85546875" style="1" customWidth="1"/>
    <col min="13753" max="13757" width="7.42578125" style="1" customWidth="1"/>
    <col min="13758" max="13758" width="7.85546875" style="1" bestFit="1" customWidth="1"/>
    <col min="13759" max="13759" width="7.42578125" style="1" customWidth="1"/>
    <col min="13760" max="13760" width="8.28515625" style="1" bestFit="1" customWidth="1"/>
    <col min="13761" max="13761" width="8.7109375" style="1" customWidth="1"/>
    <col min="13762" max="13762" width="8.5703125" style="1" customWidth="1"/>
    <col min="13763" max="13775" width="8.7109375" style="1" customWidth="1"/>
    <col min="13776" max="13776" width="12.5703125" style="1"/>
    <col min="13777" max="13777" width="45.85546875" style="1" customWidth="1"/>
    <col min="13778" max="13779" width="10.85546875" style="1" customWidth="1"/>
    <col min="13780" max="13808" width="9" style="1" customWidth="1"/>
    <col min="13809" max="13959" width="12.5703125" style="1"/>
    <col min="13960" max="13960" width="42.5703125" style="1" customWidth="1"/>
    <col min="13961" max="13961" width="9" style="1" customWidth="1"/>
    <col min="13962" max="13962" width="10.28515625" style="1" customWidth="1"/>
    <col min="13963" max="13963" width="10.42578125" style="1" customWidth="1"/>
    <col min="13964" max="13982" width="10" style="1" customWidth="1"/>
    <col min="13983" max="13989" width="9.7109375" style="1" customWidth="1"/>
    <col min="13990" max="13995" width="12.5703125" style="1"/>
    <col min="13996" max="13996" width="44.7109375" style="1" customWidth="1"/>
    <col min="13997" max="14000" width="7.42578125" style="1" customWidth="1"/>
    <col min="14001" max="14001" width="7.5703125" style="1" customWidth="1"/>
    <col min="14002" max="14003" width="7.42578125" style="1" customWidth="1"/>
    <col min="14004" max="14005" width="9" style="1" bestFit="1" customWidth="1"/>
    <col min="14006" max="14006" width="9.42578125" style="1" customWidth="1"/>
    <col min="14007" max="14007" width="9.28515625" style="1" customWidth="1"/>
    <col min="14008" max="14008" width="9.85546875" style="1" customWidth="1"/>
    <col min="14009" max="14013" width="7.42578125" style="1" customWidth="1"/>
    <col min="14014" max="14014" width="7.85546875" style="1" bestFit="1" customWidth="1"/>
    <col min="14015" max="14015" width="7.42578125" style="1" customWidth="1"/>
    <col min="14016" max="14016" width="8.28515625" style="1" bestFit="1" customWidth="1"/>
    <col min="14017" max="14017" width="8.7109375" style="1" customWidth="1"/>
    <col min="14018" max="14018" width="8.5703125" style="1" customWidth="1"/>
    <col min="14019" max="14031" width="8.7109375" style="1" customWidth="1"/>
    <col min="14032" max="14032" width="12.5703125" style="1"/>
    <col min="14033" max="14033" width="45.85546875" style="1" customWidth="1"/>
    <col min="14034" max="14035" width="10.85546875" style="1" customWidth="1"/>
    <col min="14036" max="14064" width="9" style="1" customWidth="1"/>
    <col min="14065" max="14215" width="12.5703125" style="1"/>
    <col min="14216" max="14216" width="42.5703125" style="1" customWidth="1"/>
    <col min="14217" max="14217" width="9" style="1" customWidth="1"/>
    <col min="14218" max="14218" width="10.28515625" style="1" customWidth="1"/>
    <col min="14219" max="14219" width="10.42578125" style="1" customWidth="1"/>
    <col min="14220" max="14238" width="10" style="1" customWidth="1"/>
    <col min="14239" max="14245" width="9.7109375" style="1" customWidth="1"/>
    <col min="14246" max="14251" width="12.5703125" style="1"/>
    <col min="14252" max="14252" width="44.7109375" style="1" customWidth="1"/>
    <col min="14253" max="14256" width="7.42578125" style="1" customWidth="1"/>
    <col min="14257" max="14257" width="7.5703125" style="1" customWidth="1"/>
    <col min="14258" max="14259" width="7.42578125" style="1" customWidth="1"/>
    <col min="14260" max="14261" width="9" style="1" bestFit="1" customWidth="1"/>
    <col min="14262" max="14262" width="9.42578125" style="1" customWidth="1"/>
    <col min="14263" max="14263" width="9.28515625" style="1" customWidth="1"/>
    <col min="14264" max="14264" width="9.85546875" style="1" customWidth="1"/>
    <col min="14265" max="14269" width="7.42578125" style="1" customWidth="1"/>
    <col min="14270" max="14270" width="7.85546875" style="1" bestFit="1" customWidth="1"/>
    <col min="14271" max="14271" width="7.42578125" style="1" customWidth="1"/>
    <col min="14272" max="14272" width="8.28515625" style="1" bestFit="1" customWidth="1"/>
    <col min="14273" max="14273" width="8.7109375" style="1" customWidth="1"/>
    <col min="14274" max="14274" width="8.5703125" style="1" customWidth="1"/>
    <col min="14275" max="14287" width="8.7109375" style="1" customWidth="1"/>
    <col min="14288" max="14288" width="12.5703125" style="1"/>
    <col min="14289" max="14289" width="45.85546875" style="1" customWidth="1"/>
    <col min="14290" max="14291" width="10.85546875" style="1" customWidth="1"/>
    <col min="14292" max="14320" width="9" style="1" customWidth="1"/>
    <col min="14321" max="14471" width="12.5703125" style="1"/>
    <col min="14472" max="14472" width="42.5703125" style="1" customWidth="1"/>
    <col min="14473" max="14473" width="9" style="1" customWidth="1"/>
    <col min="14474" max="14474" width="10.28515625" style="1" customWidth="1"/>
    <col min="14475" max="14475" width="10.42578125" style="1" customWidth="1"/>
    <col min="14476" max="14494" width="10" style="1" customWidth="1"/>
    <col min="14495" max="14501" width="9.7109375" style="1" customWidth="1"/>
    <col min="14502" max="14507" width="12.5703125" style="1"/>
    <col min="14508" max="14508" width="44.7109375" style="1" customWidth="1"/>
    <col min="14509" max="14512" width="7.42578125" style="1" customWidth="1"/>
    <col min="14513" max="14513" width="7.5703125" style="1" customWidth="1"/>
    <col min="14514" max="14515" width="7.42578125" style="1" customWidth="1"/>
    <col min="14516" max="14517" width="9" style="1" bestFit="1" customWidth="1"/>
    <col min="14518" max="14518" width="9.42578125" style="1" customWidth="1"/>
    <col min="14519" max="14519" width="9.28515625" style="1" customWidth="1"/>
    <col min="14520" max="14520" width="9.85546875" style="1" customWidth="1"/>
    <col min="14521" max="14525" width="7.42578125" style="1" customWidth="1"/>
    <col min="14526" max="14526" width="7.85546875" style="1" bestFit="1" customWidth="1"/>
    <col min="14527" max="14527" width="7.42578125" style="1" customWidth="1"/>
    <col min="14528" max="14528" width="8.28515625" style="1" bestFit="1" customWidth="1"/>
    <col min="14529" max="14529" width="8.7109375" style="1" customWidth="1"/>
    <col min="14530" max="14530" width="8.5703125" style="1" customWidth="1"/>
    <col min="14531" max="14543" width="8.7109375" style="1" customWidth="1"/>
    <col min="14544" max="14544" width="12.5703125" style="1"/>
    <col min="14545" max="14545" width="45.85546875" style="1" customWidth="1"/>
    <col min="14546" max="14547" width="10.85546875" style="1" customWidth="1"/>
    <col min="14548" max="14576" width="9" style="1" customWidth="1"/>
    <col min="14577" max="14727" width="12.5703125" style="1"/>
    <col min="14728" max="14728" width="42.5703125" style="1" customWidth="1"/>
    <col min="14729" max="14729" width="9" style="1" customWidth="1"/>
    <col min="14730" max="14730" width="10.28515625" style="1" customWidth="1"/>
    <col min="14731" max="14731" width="10.42578125" style="1" customWidth="1"/>
    <col min="14732" max="14750" width="10" style="1" customWidth="1"/>
    <col min="14751" max="14757" width="9.7109375" style="1" customWidth="1"/>
    <col min="14758" max="14763" width="12.5703125" style="1"/>
    <col min="14764" max="14764" width="44.7109375" style="1" customWidth="1"/>
    <col min="14765" max="14768" width="7.42578125" style="1" customWidth="1"/>
    <col min="14769" max="14769" width="7.5703125" style="1" customWidth="1"/>
    <col min="14770" max="14771" width="7.42578125" style="1" customWidth="1"/>
    <col min="14772" max="14773" width="9" style="1" bestFit="1" customWidth="1"/>
    <col min="14774" max="14774" width="9.42578125" style="1" customWidth="1"/>
    <col min="14775" max="14775" width="9.28515625" style="1" customWidth="1"/>
    <col min="14776" max="14776" width="9.85546875" style="1" customWidth="1"/>
    <col min="14777" max="14781" width="7.42578125" style="1" customWidth="1"/>
    <col min="14782" max="14782" width="7.85546875" style="1" bestFit="1" customWidth="1"/>
    <col min="14783" max="14783" width="7.42578125" style="1" customWidth="1"/>
    <col min="14784" max="14784" width="8.28515625" style="1" bestFit="1" customWidth="1"/>
    <col min="14785" max="14785" width="8.7109375" style="1" customWidth="1"/>
    <col min="14786" max="14786" width="8.5703125" style="1" customWidth="1"/>
    <col min="14787" max="14799" width="8.7109375" style="1" customWidth="1"/>
    <col min="14800" max="14800" width="12.5703125" style="1"/>
    <col min="14801" max="14801" width="45.85546875" style="1" customWidth="1"/>
    <col min="14802" max="14803" width="10.85546875" style="1" customWidth="1"/>
    <col min="14804" max="14832" width="9" style="1" customWidth="1"/>
    <col min="14833" max="14983" width="12.5703125" style="1"/>
    <col min="14984" max="14984" width="42.5703125" style="1" customWidth="1"/>
    <col min="14985" max="14985" width="9" style="1" customWidth="1"/>
    <col min="14986" max="14986" width="10.28515625" style="1" customWidth="1"/>
    <col min="14987" max="14987" width="10.42578125" style="1" customWidth="1"/>
    <col min="14988" max="15006" width="10" style="1" customWidth="1"/>
    <col min="15007" max="15013" width="9.7109375" style="1" customWidth="1"/>
    <col min="15014" max="15019" width="12.5703125" style="1"/>
    <col min="15020" max="15020" width="44.7109375" style="1" customWidth="1"/>
    <col min="15021" max="15024" width="7.42578125" style="1" customWidth="1"/>
    <col min="15025" max="15025" width="7.5703125" style="1" customWidth="1"/>
    <col min="15026" max="15027" width="7.42578125" style="1" customWidth="1"/>
    <col min="15028" max="15029" width="9" style="1" bestFit="1" customWidth="1"/>
    <col min="15030" max="15030" width="9.42578125" style="1" customWidth="1"/>
    <col min="15031" max="15031" width="9.28515625" style="1" customWidth="1"/>
    <col min="15032" max="15032" width="9.85546875" style="1" customWidth="1"/>
    <col min="15033" max="15037" width="7.42578125" style="1" customWidth="1"/>
    <col min="15038" max="15038" width="7.85546875" style="1" bestFit="1" customWidth="1"/>
    <col min="15039" max="15039" width="7.42578125" style="1" customWidth="1"/>
    <col min="15040" max="15040" width="8.28515625" style="1" bestFit="1" customWidth="1"/>
    <col min="15041" max="15041" width="8.7109375" style="1" customWidth="1"/>
    <col min="15042" max="15042" width="8.5703125" style="1" customWidth="1"/>
    <col min="15043" max="15055" width="8.7109375" style="1" customWidth="1"/>
    <col min="15056" max="15056" width="12.5703125" style="1"/>
    <col min="15057" max="15057" width="45.85546875" style="1" customWidth="1"/>
    <col min="15058" max="15059" width="10.85546875" style="1" customWidth="1"/>
    <col min="15060" max="15088" width="9" style="1" customWidth="1"/>
    <col min="15089" max="15239" width="12.5703125" style="1"/>
    <col min="15240" max="15240" width="42.5703125" style="1" customWidth="1"/>
    <col min="15241" max="15241" width="9" style="1" customWidth="1"/>
    <col min="15242" max="15242" width="10.28515625" style="1" customWidth="1"/>
    <col min="15243" max="15243" width="10.42578125" style="1" customWidth="1"/>
    <col min="15244" max="15262" width="10" style="1" customWidth="1"/>
    <col min="15263" max="15269" width="9.7109375" style="1" customWidth="1"/>
    <col min="15270" max="15275" width="12.5703125" style="1"/>
    <col min="15276" max="15276" width="44.7109375" style="1" customWidth="1"/>
    <col min="15277" max="15280" width="7.42578125" style="1" customWidth="1"/>
    <col min="15281" max="15281" width="7.5703125" style="1" customWidth="1"/>
    <col min="15282" max="15283" width="7.42578125" style="1" customWidth="1"/>
    <col min="15284" max="15285" width="9" style="1" bestFit="1" customWidth="1"/>
    <col min="15286" max="15286" width="9.42578125" style="1" customWidth="1"/>
    <col min="15287" max="15287" width="9.28515625" style="1" customWidth="1"/>
    <col min="15288" max="15288" width="9.85546875" style="1" customWidth="1"/>
    <col min="15289" max="15293" width="7.42578125" style="1" customWidth="1"/>
    <col min="15294" max="15294" width="7.85546875" style="1" bestFit="1" customWidth="1"/>
    <col min="15295" max="15295" width="7.42578125" style="1" customWidth="1"/>
    <col min="15296" max="15296" width="8.28515625" style="1" bestFit="1" customWidth="1"/>
    <col min="15297" max="15297" width="8.7109375" style="1" customWidth="1"/>
    <col min="15298" max="15298" width="8.5703125" style="1" customWidth="1"/>
    <col min="15299" max="15311" width="8.7109375" style="1" customWidth="1"/>
    <col min="15312" max="15312" width="12.5703125" style="1"/>
    <col min="15313" max="15313" width="45.85546875" style="1" customWidth="1"/>
    <col min="15314" max="15315" width="10.85546875" style="1" customWidth="1"/>
    <col min="15316" max="15344" width="9" style="1" customWidth="1"/>
    <col min="15345" max="15495" width="12.5703125" style="1"/>
    <col min="15496" max="15496" width="42.5703125" style="1" customWidth="1"/>
    <col min="15497" max="15497" width="9" style="1" customWidth="1"/>
    <col min="15498" max="15498" width="10.28515625" style="1" customWidth="1"/>
    <col min="15499" max="15499" width="10.42578125" style="1" customWidth="1"/>
    <col min="15500" max="15518" width="10" style="1" customWidth="1"/>
    <col min="15519" max="15525" width="9.7109375" style="1" customWidth="1"/>
    <col min="15526" max="15531" width="12.5703125" style="1"/>
    <col min="15532" max="15532" width="44.7109375" style="1" customWidth="1"/>
    <col min="15533" max="15536" width="7.42578125" style="1" customWidth="1"/>
    <col min="15537" max="15537" width="7.5703125" style="1" customWidth="1"/>
    <col min="15538" max="15539" width="7.42578125" style="1" customWidth="1"/>
    <col min="15540" max="15541" width="9" style="1" bestFit="1" customWidth="1"/>
    <col min="15542" max="15542" width="9.42578125" style="1" customWidth="1"/>
    <col min="15543" max="15543" width="9.28515625" style="1" customWidth="1"/>
    <col min="15544" max="15544" width="9.85546875" style="1" customWidth="1"/>
    <col min="15545" max="15549" width="7.42578125" style="1" customWidth="1"/>
    <col min="15550" max="15550" width="7.85546875" style="1" bestFit="1" customWidth="1"/>
    <col min="15551" max="15551" width="7.42578125" style="1" customWidth="1"/>
    <col min="15552" max="15552" width="8.28515625" style="1" bestFit="1" customWidth="1"/>
    <col min="15553" max="15553" width="8.7109375" style="1" customWidth="1"/>
    <col min="15554" max="15554" width="8.5703125" style="1" customWidth="1"/>
    <col min="15555" max="15567" width="8.7109375" style="1" customWidth="1"/>
    <col min="15568" max="15568" width="12.5703125" style="1"/>
    <col min="15569" max="15569" width="45.85546875" style="1" customWidth="1"/>
    <col min="15570" max="15571" width="10.85546875" style="1" customWidth="1"/>
    <col min="15572" max="15600" width="9" style="1" customWidth="1"/>
    <col min="15601" max="15751" width="12.5703125" style="1"/>
    <col min="15752" max="15752" width="42.5703125" style="1" customWidth="1"/>
    <col min="15753" max="15753" width="9" style="1" customWidth="1"/>
    <col min="15754" max="15754" width="10.28515625" style="1" customWidth="1"/>
    <col min="15755" max="15755" width="10.42578125" style="1" customWidth="1"/>
    <col min="15756" max="15774" width="10" style="1" customWidth="1"/>
    <col min="15775" max="15781" width="9.7109375" style="1" customWidth="1"/>
    <col min="15782" max="15787" width="12.5703125" style="1"/>
    <col min="15788" max="15788" width="44.7109375" style="1" customWidth="1"/>
    <col min="15789" max="15792" width="7.42578125" style="1" customWidth="1"/>
    <col min="15793" max="15793" width="7.5703125" style="1" customWidth="1"/>
    <col min="15794" max="15795" width="7.42578125" style="1" customWidth="1"/>
    <col min="15796" max="15797" width="9" style="1" bestFit="1" customWidth="1"/>
    <col min="15798" max="15798" width="9.42578125" style="1" customWidth="1"/>
    <col min="15799" max="15799" width="9.28515625" style="1" customWidth="1"/>
    <col min="15800" max="15800" width="9.85546875" style="1" customWidth="1"/>
    <col min="15801" max="15805" width="7.42578125" style="1" customWidth="1"/>
    <col min="15806" max="15806" width="7.85546875" style="1" bestFit="1" customWidth="1"/>
    <col min="15807" max="15807" width="7.42578125" style="1" customWidth="1"/>
    <col min="15808" max="15808" width="8.28515625" style="1" bestFit="1" customWidth="1"/>
    <col min="15809" max="15809" width="8.7109375" style="1" customWidth="1"/>
    <col min="15810" max="15810" width="8.5703125" style="1" customWidth="1"/>
    <col min="15811" max="15823" width="8.7109375" style="1" customWidth="1"/>
    <col min="15824" max="15824" width="12.5703125" style="1"/>
    <col min="15825" max="15825" width="45.85546875" style="1" customWidth="1"/>
    <col min="15826" max="15827" width="10.85546875" style="1" customWidth="1"/>
    <col min="15828" max="15856" width="9" style="1" customWidth="1"/>
    <col min="15857" max="16007" width="12.5703125" style="1"/>
    <col min="16008" max="16008" width="42.5703125" style="1" customWidth="1"/>
    <col min="16009" max="16009" width="9" style="1" customWidth="1"/>
    <col min="16010" max="16010" width="10.28515625" style="1" customWidth="1"/>
    <col min="16011" max="16011" width="10.42578125" style="1" customWidth="1"/>
    <col min="16012" max="16030" width="10" style="1" customWidth="1"/>
    <col min="16031" max="16037" width="9.7109375" style="1" customWidth="1"/>
    <col min="16038" max="16043" width="12.5703125" style="1"/>
    <col min="16044" max="16044" width="44.7109375" style="1" customWidth="1"/>
    <col min="16045" max="16048" width="7.42578125" style="1" customWidth="1"/>
    <col min="16049" max="16049" width="7.5703125" style="1" customWidth="1"/>
    <col min="16050" max="16051" width="7.42578125" style="1" customWidth="1"/>
    <col min="16052" max="16053" width="9" style="1" bestFit="1" customWidth="1"/>
    <col min="16054" max="16054" width="9.42578125" style="1" customWidth="1"/>
    <col min="16055" max="16055" width="9.28515625" style="1" customWidth="1"/>
    <col min="16056" max="16056" width="9.85546875" style="1" customWidth="1"/>
    <col min="16057" max="16061" width="7.42578125" style="1" customWidth="1"/>
    <col min="16062" max="16062" width="7.85546875" style="1" bestFit="1" customWidth="1"/>
    <col min="16063" max="16063" width="7.42578125" style="1" customWidth="1"/>
    <col min="16064" max="16064" width="8.28515625" style="1" bestFit="1" customWidth="1"/>
    <col min="16065" max="16065" width="8.7109375" style="1" customWidth="1"/>
    <col min="16066" max="16066" width="8.5703125" style="1" customWidth="1"/>
    <col min="16067" max="16079" width="8.7109375" style="1" customWidth="1"/>
    <col min="16080" max="16080" width="12.5703125" style="1"/>
    <col min="16081" max="16081" width="45.85546875" style="1" customWidth="1"/>
    <col min="16082" max="16083" width="10.85546875" style="1" customWidth="1"/>
    <col min="16084" max="16112" width="9" style="1" customWidth="1"/>
    <col min="16113" max="16384" width="12.5703125" style="1"/>
  </cols>
  <sheetData>
    <row r="1" spans="1:13" hidden="1">
      <c r="A1" s="1" t="s">
        <v>0</v>
      </c>
      <c r="B1" s="2">
        <v>1.3236699976304672E-2</v>
      </c>
      <c r="C1" s="2">
        <v>1.3227729239813834E-2</v>
      </c>
      <c r="D1" s="2">
        <v>1.3039068913893856E-2</v>
      </c>
      <c r="E1" s="2">
        <v>1.3054356891612577E-2</v>
      </c>
      <c r="F1" s="2">
        <v>1.2975986415263605E-2</v>
      </c>
      <c r="G1" s="2">
        <v>1.2724195214288801E-2</v>
      </c>
      <c r="H1" s="2">
        <v>1.2692691908408911E-2</v>
      </c>
      <c r="I1" s="2">
        <v>1.256602983268564E-2</v>
      </c>
      <c r="J1" s="2">
        <v>1.254263139761303E-2</v>
      </c>
      <c r="K1" s="2">
        <v>1.2822034904428355E-2</v>
      </c>
      <c r="L1" s="2">
        <v>1.3019159058763019E-2</v>
      </c>
      <c r="M1" s="2">
        <v>1.2818027527109732E-2</v>
      </c>
    </row>
    <row r="2" spans="1:13">
      <c r="B2" s="3"/>
      <c r="C2" s="3"/>
      <c r="D2" s="3"/>
      <c r="E2" s="3"/>
      <c r="F2" s="3"/>
      <c r="G2" s="3"/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</row>
    <row r="4" spans="1:13">
      <c r="A4" s="4" t="s">
        <v>2</v>
      </c>
    </row>
    <row r="5" spans="1:13">
      <c r="A5" s="4" t="s">
        <v>3</v>
      </c>
    </row>
    <row r="6" spans="1:13">
      <c r="A6" s="4"/>
    </row>
    <row r="7" spans="1:13">
      <c r="A7" s="5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9.5" customHeight="1" thickBot="1">
      <c r="A8" s="7" t="s">
        <v>5</v>
      </c>
      <c r="B8" s="7">
        <v>2012</v>
      </c>
      <c r="C8" s="7">
        <v>2013</v>
      </c>
      <c r="D8" s="7">
        <v>2014</v>
      </c>
      <c r="E8" s="7">
        <v>2015</v>
      </c>
      <c r="F8" s="7">
        <v>2016</v>
      </c>
      <c r="G8" s="7">
        <v>2017</v>
      </c>
      <c r="H8" s="7">
        <v>2018</v>
      </c>
      <c r="I8" s="7">
        <v>2019</v>
      </c>
      <c r="J8" s="7">
        <v>2020</v>
      </c>
      <c r="K8" s="7">
        <v>2021</v>
      </c>
      <c r="L8" s="7">
        <v>2022</v>
      </c>
      <c r="M8" s="7">
        <v>2023</v>
      </c>
    </row>
    <row r="9" spans="1:13">
      <c r="A9" s="8"/>
    </row>
    <row r="10" spans="1:13">
      <c r="A10" s="9" t="s">
        <v>6</v>
      </c>
      <c r="B10" s="10">
        <f t="shared" ref="B10:M10" si="0">B92*B$1</f>
        <v>1902.615722258083</v>
      </c>
      <c r="C10" s="10">
        <f t="shared" si="0"/>
        <v>1920.2239503551889</v>
      </c>
      <c r="D10" s="10">
        <f t="shared" si="0"/>
        <v>1954.8011735162027</v>
      </c>
      <c r="E10" s="10">
        <f t="shared" si="0"/>
        <v>2205.9659571381949</v>
      </c>
      <c r="F10" s="10">
        <f t="shared" si="0"/>
        <v>2403.1413962962365</v>
      </c>
      <c r="G10" s="10">
        <f t="shared" si="0"/>
        <v>2637.2057573056122</v>
      </c>
      <c r="H10" s="10">
        <f t="shared" si="0"/>
        <v>2891.2652435704076</v>
      </c>
      <c r="I10" s="10">
        <f t="shared" si="0"/>
        <v>3173.3012728922813</v>
      </c>
      <c r="J10" s="10">
        <f t="shared" si="0"/>
        <v>2947.3131809893966</v>
      </c>
      <c r="K10" s="10">
        <f t="shared" si="0"/>
        <v>3493.0377300249324</v>
      </c>
      <c r="L10" s="10">
        <f t="shared" si="0"/>
        <v>5696.8425115725859</v>
      </c>
      <c r="M10" s="10">
        <f t="shared" si="0"/>
        <v>7706.2782619704149</v>
      </c>
    </row>
    <row r="11" spans="1:13">
      <c r="A11" s="11" t="s">
        <v>7</v>
      </c>
      <c r="B11" s="12">
        <f t="shared" ref="B11:M11" si="1">B93*B$1</f>
        <v>1723.7945239281951</v>
      </c>
      <c r="C11" s="12">
        <f t="shared" si="1"/>
        <v>1805.516918429003</v>
      </c>
      <c r="D11" s="12">
        <f t="shared" si="1"/>
        <v>1900.1544356980735</v>
      </c>
      <c r="E11" s="12">
        <f t="shared" si="1"/>
        <v>2111.0224027269101</v>
      </c>
      <c r="F11" s="12">
        <f t="shared" si="1"/>
        <v>2300.9282537045642</v>
      </c>
      <c r="G11" s="12">
        <f t="shared" si="1"/>
        <v>2481.9858447255465</v>
      </c>
      <c r="H11" s="12">
        <f t="shared" si="1"/>
        <v>2754.5217965643551</v>
      </c>
      <c r="I11" s="12">
        <f t="shared" si="1"/>
        <v>3023.2025597468178</v>
      </c>
      <c r="J11" s="12">
        <f t="shared" si="1"/>
        <v>2852.2174582589746</v>
      </c>
      <c r="K11" s="12">
        <f t="shared" si="1"/>
        <v>3423.9013178202549</v>
      </c>
      <c r="L11" s="12">
        <f t="shared" si="1"/>
        <v>5591.1995869229777</v>
      </c>
      <c r="M11" s="12">
        <f t="shared" si="1"/>
        <v>7663.9659531034258</v>
      </c>
    </row>
    <row r="12" spans="1:13">
      <c r="A12" s="13" t="s">
        <v>8</v>
      </c>
      <c r="B12" s="12">
        <f t="shared" ref="B12:M12" si="2">B94*B$1</f>
        <v>1566.3505960600392</v>
      </c>
      <c r="C12" s="12">
        <f t="shared" si="2"/>
        <v>1673.4367191965382</v>
      </c>
      <c r="D12" s="10">
        <f t="shared" si="2"/>
        <v>1771.8734679094032</v>
      </c>
      <c r="E12" s="10">
        <f t="shared" si="2"/>
        <v>1865.4190376038005</v>
      </c>
      <c r="F12" s="10">
        <f t="shared" si="2"/>
        <v>1969.0479371545746</v>
      </c>
      <c r="G12" s="10">
        <f t="shared" si="2"/>
        <v>2177.7452474738157</v>
      </c>
      <c r="H12" s="10">
        <f t="shared" si="2"/>
        <v>2519.6562254911569</v>
      </c>
      <c r="I12" s="10">
        <f t="shared" si="2"/>
        <v>2839.8340260163359</v>
      </c>
      <c r="J12" s="10">
        <f t="shared" si="2"/>
        <v>2738.4337164513645</v>
      </c>
      <c r="K12" s="10">
        <f t="shared" si="2"/>
        <v>3270.714671732163</v>
      </c>
      <c r="L12" s="10">
        <f t="shared" si="2"/>
        <v>3805.9786469718401</v>
      </c>
      <c r="M12" s="10">
        <f t="shared" si="2"/>
        <v>4699.2809054907839</v>
      </c>
    </row>
    <row r="13" spans="1:13">
      <c r="A13" s="14" t="s">
        <v>9</v>
      </c>
      <c r="B13" s="15">
        <f t="shared" ref="B13:M13" si="3">B95*B$1</f>
        <v>581.7402567266131</v>
      </c>
      <c r="C13" s="15">
        <f t="shared" si="3"/>
        <v>610.17001714705646</v>
      </c>
      <c r="D13" s="15">
        <f t="shared" si="3"/>
        <v>667.37983773603139</v>
      </c>
      <c r="E13" s="15">
        <f t="shared" si="3"/>
        <v>711.46480037712593</v>
      </c>
      <c r="F13" s="15">
        <f t="shared" si="3"/>
        <v>786.6598337151371</v>
      </c>
      <c r="G13" s="15">
        <f t="shared" si="3"/>
        <v>862.03368769955205</v>
      </c>
      <c r="H13" s="15">
        <f t="shared" si="3"/>
        <v>993.00894364679857</v>
      </c>
      <c r="I13" s="15">
        <f t="shared" si="3"/>
        <v>1176.1225886021455</v>
      </c>
      <c r="J13" s="15">
        <f t="shared" si="3"/>
        <v>1313.251135224277</v>
      </c>
      <c r="K13" s="15">
        <f t="shared" si="3"/>
        <v>1575.2990525940879</v>
      </c>
      <c r="L13" s="15">
        <f t="shared" si="3"/>
        <v>2128.4153465346535</v>
      </c>
      <c r="M13" s="15">
        <f t="shared" si="3"/>
        <v>2715.2035479034216</v>
      </c>
    </row>
    <row r="14" spans="1:13" ht="14.25">
      <c r="A14" s="16" t="s">
        <v>10</v>
      </c>
      <c r="B14" s="17">
        <f t="shared" ref="B14:M14" si="4">B96*B$1</f>
        <v>367.90441305040565</v>
      </c>
      <c r="C14" s="17">
        <f t="shared" si="4"/>
        <v>409.12043765820209</v>
      </c>
      <c r="D14" s="17">
        <f t="shared" si="4"/>
        <v>433.98363355387079</v>
      </c>
      <c r="E14" s="17">
        <f t="shared" si="4"/>
        <v>451.76468796460824</v>
      </c>
      <c r="F14" s="17">
        <f t="shared" si="4"/>
        <v>491.75004886019576</v>
      </c>
      <c r="G14" s="17">
        <f t="shared" si="4"/>
        <v>586.30928434256373</v>
      </c>
      <c r="H14" s="17">
        <f t="shared" si="4"/>
        <v>665.44102795134484</v>
      </c>
      <c r="I14" s="17">
        <f t="shared" si="4"/>
        <v>809.05880436553184</v>
      </c>
      <c r="J14" s="17">
        <f t="shared" si="4"/>
        <v>878.17484583015573</v>
      </c>
      <c r="K14" s="17">
        <f t="shared" si="4"/>
        <v>1025.1398978986113</v>
      </c>
      <c r="L14" s="17">
        <f t="shared" si="4"/>
        <v>1413.9108782306803</v>
      </c>
      <c r="M14" s="17">
        <f t="shared" si="4"/>
        <v>1845.7218757046946</v>
      </c>
    </row>
    <row r="15" spans="1:13">
      <c r="A15" s="16" t="s">
        <v>11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>
      <c r="A16" s="16" t="s">
        <v>12</v>
      </c>
      <c r="B16" s="17">
        <f t="shared" ref="B16:M16" si="5">B98*B$1</f>
        <v>213.83584367620742</v>
      </c>
      <c r="C16" s="17">
        <f t="shared" si="5"/>
        <v>201.04957948885445</v>
      </c>
      <c r="D16" s="17">
        <f t="shared" si="5"/>
        <v>233.39581301009326</v>
      </c>
      <c r="E16" s="17">
        <f t="shared" si="5"/>
        <v>259.69972078181098</v>
      </c>
      <c r="F16" s="17">
        <f t="shared" si="5"/>
        <v>294.90939557534881</v>
      </c>
      <c r="G16" s="17">
        <f t="shared" si="5"/>
        <v>275.72440335698832</v>
      </c>
      <c r="H16" s="17">
        <f t="shared" si="5"/>
        <v>327.56791569545379</v>
      </c>
      <c r="I16" s="17">
        <f t="shared" si="5"/>
        <v>367.06378423661369</v>
      </c>
      <c r="J16" s="17">
        <f t="shared" si="5"/>
        <v>435.07628939412126</v>
      </c>
      <c r="K16" s="17">
        <f t="shared" si="5"/>
        <v>550.15915469547679</v>
      </c>
      <c r="L16" s="17">
        <f t="shared" si="5"/>
        <v>714.50446830397323</v>
      </c>
      <c r="M16" s="17">
        <f t="shared" si="5"/>
        <v>869.48167219872687</v>
      </c>
    </row>
    <row r="17" spans="1:13">
      <c r="A17" s="16" t="s">
        <v>13</v>
      </c>
      <c r="B17" s="20">
        <f t="shared" ref="B17:M17" si="6">B99*B$1</f>
        <v>0</v>
      </c>
      <c r="C17" s="20">
        <f t="shared" si="6"/>
        <v>0</v>
      </c>
      <c r="D17" s="20">
        <f t="shared" si="6"/>
        <v>0</v>
      </c>
      <c r="E17" s="20">
        <f t="shared" si="6"/>
        <v>0</v>
      </c>
      <c r="F17" s="20">
        <f t="shared" si="6"/>
        <v>0</v>
      </c>
      <c r="G17" s="20">
        <f t="shared" si="6"/>
        <v>0</v>
      </c>
      <c r="H17" s="20">
        <f t="shared" si="6"/>
        <v>0</v>
      </c>
      <c r="I17" s="20">
        <f t="shared" si="6"/>
        <v>0</v>
      </c>
      <c r="J17" s="20">
        <f t="shared" si="6"/>
        <v>0</v>
      </c>
      <c r="K17" s="20">
        <f t="shared" si="6"/>
        <v>0</v>
      </c>
      <c r="L17" s="20">
        <f t="shared" si="6"/>
        <v>0</v>
      </c>
      <c r="M17" s="20">
        <f t="shared" si="6"/>
        <v>0</v>
      </c>
    </row>
    <row r="18" spans="1:13">
      <c r="A18" s="16" t="s">
        <v>14</v>
      </c>
      <c r="B18" s="17">
        <f t="shared" ref="B18:M18" si="7">B100*B$1</f>
        <v>0</v>
      </c>
      <c r="C18" s="17">
        <f t="shared" si="7"/>
        <v>0</v>
      </c>
      <c r="D18" s="17">
        <f t="shared" si="7"/>
        <v>0</v>
      </c>
      <c r="E18" s="17">
        <f t="shared" si="7"/>
        <v>0</v>
      </c>
      <c r="F18" s="17">
        <f t="shared" si="7"/>
        <v>0</v>
      </c>
      <c r="G18" s="17">
        <f t="shared" si="7"/>
        <v>0</v>
      </c>
      <c r="H18" s="17">
        <f t="shared" si="7"/>
        <v>0</v>
      </c>
      <c r="I18" s="17">
        <f t="shared" si="7"/>
        <v>0</v>
      </c>
      <c r="J18" s="17">
        <f t="shared" si="7"/>
        <v>0</v>
      </c>
      <c r="K18" s="17">
        <f t="shared" si="7"/>
        <v>0</v>
      </c>
      <c r="L18" s="17">
        <f t="shared" si="7"/>
        <v>0</v>
      </c>
      <c r="M18" s="17">
        <f t="shared" si="7"/>
        <v>0</v>
      </c>
    </row>
    <row r="19" spans="1:13">
      <c r="A19" s="14" t="s">
        <v>15</v>
      </c>
      <c r="B19" s="15">
        <f t="shared" ref="B19:M19" si="8">B101*B$1</f>
        <v>25.196058404895943</v>
      </c>
      <c r="C19" s="15">
        <f t="shared" si="8"/>
        <v>34.503208949130403</v>
      </c>
      <c r="D19" s="15">
        <f t="shared" si="8"/>
        <v>31.588448350799254</v>
      </c>
      <c r="E19" s="15">
        <f t="shared" si="8"/>
        <v>42.262175000906559</v>
      </c>
      <c r="F19" s="15">
        <f t="shared" si="8"/>
        <v>41.638642807939384</v>
      </c>
      <c r="G19" s="15">
        <f t="shared" si="8"/>
        <v>46.033593446254024</v>
      </c>
      <c r="H19" s="15">
        <f t="shared" si="8"/>
        <v>56.114390927075796</v>
      </c>
      <c r="I19" s="15">
        <f t="shared" si="8"/>
        <v>54.697917296907363</v>
      </c>
      <c r="J19" s="15">
        <f t="shared" si="8"/>
        <v>48.804131325996153</v>
      </c>
      <c r="K19" s="15">
        <f t="shared" si="8"/>
        <v>63.775775851834283</v>
      </c>
      <c r="L19" s="15">
        <f t="shared" si="8"/>
        <v>77.390047576186205</v>
      </c>
      <c r="M19" s="15">
        <f t="shared" si="8"/>
        <v>91.820914748248398</v>
      </c>
    </row>
    <row r="20" spans="1:13">
      <c r="A20" s="22" t="s">
        <v>16</v>
      </c>
      <c r="B20" s="24">
        <f t="shared" ref="B20:M20" si="9">B102*B$1</f>
        <v>24.702329495779779</v>
      </c>
      <c r="C20" s="24">
        <f t="shared" si="9"/>
        <v>34.019074058953223</v>
      </c>
      <c r="D20" s="24">
        <f t="shared" si="9"/>
        <v>31.039503549524323</v>
      </c>
      <c r="E20" s="24">
        <f t="shared" si="9"/>
        <v>41.785690974362701</v>
      </c>
      <c r="F20" s="24">
        <f t="shared" si="9"/>
        <v>41.165019303782259</v>
      </c>
      <c r="G20" s="24">
        <f t="shared" si="9"/>
        <v>45.537349832896766</v>
      </c>
      <c r="H20" s="24">
        <f t="shared" si="9"/>
        <v>55.55718175229665</v>
      </c>
      <c r="I20" s="24">
        <f t="shared" si="9"/>
        <v>54.180448188397364</v>
      </c>
      <c r="J20" s="24">
        <f t="shared" si="9"/>
        <v>48.254513218152752</v>
      </c>
      <c r="K20" s="24">
        <f t="shared" si="9"/>
        <v>62.914006885907654</v>
      </c>
      <c r="L20" s="24">
        <f t="shared" si="9"/>
        <v>76.205173910248178</v>
      </c>
      <c r="M20" s="24">
        <f t="shared" si="9"/>
        <v>90.55564725104739</v>
      </c>
    </row>
    <row r="21" spans="1:13">
      <c r="A21" s="22" t="s">
        <v>17</v>
      </c>
      <c r="B21" s="24">
        <f t="shared" ref="B21:M21" si="10">B103*B$1</f>
        <v>0.49372890911616424</v>
      </c>
      <c r="C21" s="24">
        <f t="shared" si="10"/>
        <v>0.48413489017718636</v>
      </c>
      <c r="D21" s="24">
        <f t="shared" si="10"/>
        <v>0.54894480127493139</v>
      </c>
      <c r="E21" s="24">
        <f t="shared" si="10"/>
        <v>0.47648402654385907</v>
      </c>
      <c r="F21" s="24">
        <f t="shared" si="10"/>
        <v>0.47362350415712157</v>
      </c>
      <c r="G21" s="24">
        <f t="shared" si="10"/>
        <v>0.49624361335726325</v>
      </c>
      <c r="H21" s="24">
        <f t="shared" si="10"/>
        <v>0.55720917477915122</v>
      </c>
      <c r="I21" s="24">
        <f t="shared" si="10"/>
        <v>0.51746910850999461</v>
      </c>
      <c r="J21" s="24">
        <f t="shared" si="10"/>
        <v>0.54961810784340293</v>
      </c>
      <c r="K21" s="24">
        <f t="shared" si="10"/>
        <v>0.86176896592662966</v>
      </c>
      <c r="L21" s="24">
        <f t="shared" si="10"/>
        <v>1.1848736659380226</v>
      </c>
      <c r="M21" s="24">
        <f t="shared" si="10"/>
        <v>1.2652674972010016</v>
      </c>
    </row>
    <row r="22" spans="1:13">
      <c r="A22" s="14" t="s">
        <v>18</v>
      </c>
      <c r="B22" s="25">
        <f t="shared" ref="B22:M22" si="11">B104*B$1</f>
        <v>752.49898110093386</v>
      </c>
      <c r="C22" s="25">
        <f t="shared" si="11"/>
        <v>815.61318690291512</v>
      </c>
      <c r="D22" s="15">
        <f t="shared" si="11"/>
        <v>856.7901772347517</v>
      </c>
      <c r="E22" s="15">
        <f t="shared" si="11"/>
        <v>898.22982920549737</v>
      </c>
      <c r="F22" s="15">
        <f t="shared" si="11"/>
        <v>891.54109863351653</v>
      </c>
      <c r="G22" s="15">
        <f t="shared" si="11"/>
        <v>971.10090836615848</v>
      </c>
      <c r="H22" s="15">
        <f t="shared" si="11"/>
        <v>1115.2035194797566</v>
      </c>
      <c r="I22" s="15">
        <f t="shared" si="11"/>
        <v>1213.2677727875644</v>
      </c>
      <c r="J22" s="15">
        <f t="shared" si="11"/>
        <v>1051.4475357987603</v>
      </c>
      <c r="K22" s="15">
        <f t="shared" si="11"/>
        <v>1215.250670782382</v>
      </c>
      <c r="L22" s="15">
        <f t="shared" si="11"/>
        <v>1109.5215073293045</v>
      </c>
      <c r="M22" s="15">
        <f t="shared" si="11"/>
        <v>1330.3450074969635</v>
      </c>
    </row>
    <row r="23" spans="1:13">
      <c r="A23" s="22" t="s">
        <v>19</v>
      </c>
      <c r="B23" s="24">
        <f t="shared" ref="B23:M23" si="12">B105*B$1</f>
        <v>0</v>
      </c>
      <c r="C23" s="24">
        <f t="shared" si="12"/>
        <v>0</v>
      </c>
      <c r="D23" s="24">
        <f t="shared" si="12"/>
        <v>0</v>
      </c>
      <c r="E23" s="24">
        <f t="shared" si="12"/>
        <v>0</v>
      </c>
      <c r="F23" s="24">
        <f t="shared" si="12"/>
        <v>15.571183698316325</v>
      </c>
      <c r="G23" s="24">
        <f t="shared" si="12"/>
        <v>3.8783347013152265</v>
      </c>
      <c r="H23" s="24">
        <f t="shared" si="12"/>
        <v>0</v>
      </c>
      <c r="I23" s="24">
        <f t="shared" si="12"/>
        <v>0</v>
      </c>
      <c r="J23" s="24">
        <f t="shared" si="12"/>
        <v>0</v>
      </c>
      <c r="K23" s="24">
        <f t="shared" si="12"/>
        <v>0</v>
      </c>
      <c r="L23" s="24">
        <f t="shared" si="12"/>
        <v>0</v>
      </c>
      <c r="M23" s="24">
        <f t="shared" si="12"/>
        <v>0</v>
      </c>
    </row>
    <row r="24" spans="1:13" ht="14.25">
      <c r="A24" s="22" t="s">
        <v>20</v>
      </c>
      <c r="B24" s="24">
        <f t="shared" ref="B24:M24" si="13">B106*B$1</f>
        <v>451.44519761085735</v>
      </c>
      <c r="C24" s="24">
        <f t="shared" si="13"/>
        <v>454.8755499305953</v>
      </c>
      <c r="D24" s="24">
        <f t="shared" si="13"/>
        <v>488.64471434780523</v>
      </c>
      <c r="E24" s="24">
        <f t="shared" si="13"/>
        <v>463.12158682960444</v>
      </c>
      <c r="F24" s="24">
        <f t="shared" si="13"/>
        <v>472.63732918956157</v>
      </c>
      <c r="G24" s="24">
        <f t="shared" si="13"/>
        <v>541.48907015194425</v>
      </c>
      <c r="H24" s="24">
        <f t="shared" si="13"/>
        <v>611.55217362348947</v>
      </c>
      <c r="I24" s="24">
        <f t="shared" si="13"/>
        <v>662.84048123240177</v>
      </c>
      <c r="J24" s="24">
        <f t="shared" si="13"/>
        <v>625.97639352893134</v>
      </c>
      <c r="K24" s="24">
        <f t="shared" si="13"/>
        <v>620.29799358898276</v>
      </c>
      <c r="L24" s="24">
        <f t="shared" si="13"/>
        <v>739.87763758518713</v>
      </c>
      <c r="M24" s="24">
        <f t="shared" si="13"/>
        <v>923.44300448235344</v>
      </c>
    </row>
    <row r="25" spans="1:13">
      <c r="A25" s="22" t="s">
        <v>21</v>
      </c>
      <c r="B25" s="24">
        <f t="shared" ref="B25:M25" si="14">B107*B$1</f>
        <v>301.05378349007657</v>
      </c>
      <c r="C25" s="24">
        <f t="shared" si="14"/>
        <v>360.73763697231982</v>
      </c>
      <c r="D25" s="24">
        <f t="shared" si="14"/>
        <v>368.14546288694652</v>
      </c>
      <c r="E25" s="24">
        <f t="shared" si="14"/>
        <v>435.10824237589298</v>
      </c>
      <c r="F25" s="24">
        <f t="shared" si="14"/>
        <v>403.33258574563865</v>
      </c>
      <c r="G25" s="24">
        <f t="shared" si="14"/>
        <v>425.73350351289901</v>
      </c>
      <c r="H25" s="24">
        <f t="shared" si="14"/>
        <v>503.65134585626708</v>
      </c>
      <c r="I25" s="24">
        <f t="shared" si="14"/>
        <v>550.42729155516258</v>
      </c>
      <c r="J25" s="24">
        <f t="shared" si="14"/>
        <v>425.47114226982922</v>
      </c>
      <c r="K25" s="24">
        <f t="shared" si="14"/>
        <v>594.95267719339927</v>
      </c>
      <c r="L25" s="24">
        <f t="shared" si="14"/>
        <v>369.64386974411724</v>
      </c>
      <c r="M25" s="24">
        <f t="shared" si="14"/>
        <v>406.90200301461016</v>
      </c>
    </row>
    <row r="26" spans="1:13">
      <c r="A26" s="14" t="s">
        <v>22</v>
      </c>
      <c r="B26" s="27">
        <f t="shared" ref="B26:M26" si="15">B108*B$1</f>
        <v>170.76190118231509</v>
      </c>
      <c r="C26" s="26">
        <f t="shared" si="15"/>
        <v>177.40765901853518</v>
      </c>
      <c r="D26" s="26">
        <f t="shared" si="15"/>
        <v>180.67403293572227</v>
      </c>
      <c r="E26" s="26">
        <f t="shared" si="15"/>
        <v>183.10824237589298</v>
      </c>
      <c r="F26" s="26">
        <f t="shared" si="15"/>
        <v>219.91572016724606</v>
      </c>
      <c r="G26" s="26">
        <f t="shared" si="15"/>
        <v>235.35562162013568</v>
      </c>
      <c r="H26" s="26">
        <f t="shared" si="15"/>
        <v>278.680743541026</v>
      </c>
      <c r="I26" s="26">
        <f t="shared" si="15"/>
        <v>314.0439345635632</v>
      </c>
      <c r="J26" s="26">
        <f t="shared" si="15"/>
        <v>246.35007413314543</v>
      </c>
      <c r="K26" s="26">
        <f t="shared" si="15"/>
        <v>328.39026475127633</v>
      </c>
      <c r="L26" s="26">
        <f t="shared" si="15"/>
        <v>394.13811559727401</v>
      </c>
      <c r="M26" s="26">
        <f t="shared" si="15"/>
        <v>445.48849582029436</v>
      </c>
    </row>
    <row r="27" spans="1:13">
      <c r="A27" s="22" t="s">
        <v>23</v>
      </c>
      <c r="B27" s="24">
        <f t="shared" ref="B27:M27" si="16">B109*B$1</f>
        <v>153.02644398506374</v>
      </c>
      <c r="C27" s="24">
        <f t="shared" si="16"/>
        <v>156.95626684085903</v>
      </c>
      <c r="D27" s="24">
        <f t="shared" si="16"/>
        <v>158.64022311295702</v>
      </c>
      <c r="E27" s="24">
        <f t="shared" si="16"/>
        <v>161.31399354534577</v>
      </c>
      <c r="F27" s="24">
        <f t="shared" si="16"/>
        <v>193.1748073626708</v>
      </c>
      <c r="G27" s="24">
        <f t="shared" si="16"/>
        <v>207.05955630260021</v>
      </c>
      <c r="H27" s="24">
        <f t="shared" si="16"/>
        <v>245.23042328560518</v>
      </c>
      <c r="I27" s="24">
        <f t="shared" si="16"/>
        <v>278.15535336141301</v>
      </c>
      <c r="J27" s="24">
        <f t="shared" si="16"/>
        <v>233.59095691760962</v>
      </c>
      <c r="K27" s="24">
        <f t="shared" si="16"/>
        <v>304.3579247299063</v>
      </c>
      <c r="L27" s="24">
        <f t="shared" si="16"/>
        <v>353.14729330075869</v>
      </c>
      <c r="M27" s="24">
        <f t="shared" si="16"/>
        <v>389.7950634769295</v>
      </c>
    </row>
    <row r="28" spans="1:13">
      <c r="A28" s="22" t="s">
        <v>24</v>
      </c>
      <c r="B28" s="24">
        <f t="shared" ref="B28:M28" si="17">B110*B$1</f>
        <v>0.12045396978437251</v>
      </c>
      <c r="C28" s="24">
        <f t="shared" si="17"/>
        <v>0.18651098228137505</v>
      </c>
      <c r="D28" s="24">
        <f t="shared" si="17"/>
        <v>0.17993915101173522</v>
      </c>
      <c r="E28" s="24">
        <f t="shared" si="17"/>
        <v>0.15143053994270589</v>
      </c>
      <c r="F28" s="24">
        <f t="shared" si="17"/>
        <v>0.16609262611537415</v>
      </c>
      <c r="G28" s="24">
        <f t="shared" si="17"/>
        <v>0.28756681184292693</v>
      </c>
      <c r="H28" s="24">
        <f t="shared" si="17"/>
        <v>0.41632029459581227</v>
      </c>
      <c r="I28" s="24">
        <f t="shared" si="17"/>
        <v>0.36567146813115214</v>
      </c>
      <c r="J28" s="24">
        <f t="shared" si="17"/>
        <v>0.34492236343435834</v>
      </c>
      <c r="K28" s="24">
        <f t="shared" si="17"/>
        <v>0.37568562269975081</v>
      </c>
      <c r="L28" s="24">
        <f t="shared" si="17"/>
        <v>1.098817024559599</v>
      </c>
      <c r="M28" s="24">
        <f t="shared" si="17"/>
        <v>1.7203074744133973</v>
      </c>
    </row>
    <row r="29" spans="1:13">
      <c r="A29" s="22" t="s">
        <v>25</v>
      </c>
      <c r="B29" s="23">
        <f t="shared" ref="B29:M29" si="18">B111*B$1</f>
        <v>17.615003227466968</v>
      </c>
      <c r="C29" s="23">
        <f t="shared" si="18"/>
        <v>20.264881195394793</v>
      </c>
      <c r="D29" s="23">
        <f t="shared" si="18"/>
        <v>21.853870671753519</v>
      </c>
      <c r="E29" s="23">
        <f t="shared" si="18"/>
        <v>21.642818290604492</v>
      </c>
      <c r="F29" s="23">
        <f t="shared" si="18"/>
        <v>26.574820178459863</v>
      </c>
      <c r="G29" s="23">
        <f t="shared" si="18"/>
        <v>28.008498505692508</v>
      </c>
      <c r="H29" s="23">
        <f t="shared" si="18"/>
        <v>33.033999960825028</v>
      </c>
      <c r="I29" s="23">
        <f t="shared" si="18"/>
        <v>35.522909734019038</v>
      </c>
      <c r="J29" s="23">
        <f t="shared" si="18"/>
        <v>12.414194852101472</v>
      </c>
      <c r="K29" s="23">
        <f t="shared" si="18"/>
        <v>23.656654398670316</v>
      </c>
      <c r="L29" s="23">
        <f t="shared" si="18"/>
        <v>39.892005271955767</v>
      </c>
      <c r="M29" s="23">
        <f t="shared" si="18"/>
        <v>53.973124868951494</v>
      </c>
    </row>
    <row r="30" spans="1:13">
      <c r="A30" s="14" t="s">
        <v>26</v>
      </c>
      <c r="B30" s="25">
        <f t="shared" ref="B30:M30" si="19">B112*B$1</f>
        <v>36.153398645280944</v>
      </c>
      <c r="C30" s="15">
        <f t="shared" si="19"/>
        <v>35.74264717890096</v>
      </c>
      <c r="D30" s="15">
        <f t="shared" si="19"/>
        <v>35.440971652098334</v>
      </c>
      <c r="E30" s="15">
        <f t="shared" si="19"/>
        <v>30.353990644377561</v>
      </c>
      <c r="F30" s="15">
        <f t="shared" si="19"/>
        <v>29.292641830735466</v>
      </c>
      <c r="G30" s="15">
        <f t="shared" si="19"/>
        <v>63.221436341715339</v>
      </c>
      <c r="H30" s="15">
        <f t="shared" si="19"/>
        <v>76.648627896499733</v>
      </c>
      <c r="I30" s="15">
        <f t="shared" si="19"/>
        <v>81.701812766155484</v>
      </c>
      <c r="J30" s="15">
        <f t="shared" si="19"/>
        <v>78.580839969185391</v>
      </c>
      <c r="K30" s="15">
        <f t="shared" si="19"/>
        <v>87.998907752582227</v>
      </c>
      <c r="L30" s="15">
        <f t="shared" si="19"/>
        <v>96.513629934422013</v>
      </c>
      <c r="M30" s="15">
        <f t="shared" si="19"/>
        <v>116.42293952185592</v>
      </c>
    </row>
    <row r="31" spans="1:13">
      <c r="A31" s="22" t="s">
        <v>27</v>
      </c>
      <c r="B31" s="28">
        <f t="shared" ref="B31:M31" si="20">B113*B$1</f>
        <v>0</v>
      </c>
      <c r="C31" s="28">
        <f t="shared" si="20"/>
        <v>0</v>
      </c>
      <c r="D31" s="28">
        <f t="shared" si="20"/>
        <v>0</v>
      </c>
      <c r="E31" s="28">
        <f t="shared" si="20"/>
        <v>0</v>
      </c>
      <c r="F31" s="28">
        <f t="shared" si="20"/>
        <v>0</v>
      </c>
      <c r="G31" s="28">
        <f t="shared" si="20"/>
        <v>0</v>
      </c>
      <c r="H31" s="28">
        <f t="shared" si="20"/>
        <v>0</v>
      </c>
      <c r="I31" s="28">
        <f t="shared" si="20"/>
        <v>0</v>
      </c>
      <c r="J31" s="28">
        <f t="shared" si="20"/>
        <v>0</v>
      </c>
      <c r="K31" s="28">
        <f t="shared" si="20"/>
        <v>0</v>
      </c>
      <c r="L31" s="28">
        <f t="shared" si="20"/>
        <v>0</v>
      </c>
      <c r="M31" s="28">
        <f t="shared" si="20"/>
        <v>0</v>
      </c>
    </row>
    <row r="32" spans="1:13">
      <c r="A32" s="22" t="s">
        <v>28</v>
      </c>
      <c r="B32" s="28">
        <f t="shared" ref="B32:M32" si="21">B114*B$1</f>
        <v>0</v>
      </c>
      <c r="C32" s="28">
        <f t="shared" si="21"/>
        <v>0</v>
      </c>
      <c r="D32" s="28">
        <f t="shared" si="21"/>
        <v>0</v>
      </c>
      <c r="E32" s="28">
        <f t="shared" si="21"/>
        <v>0</v>
      </c>
      <c r="F32" s="28">
        <f t="shared" si="21"/>
        <v>0</v>
      </c>
      <c r="G32" s="28">
        <f t="shared" si="21"/>
        <v>0</v>
      </c>
      <c r="H32" s="28">
        <f t="shared" si="21"/>
        <v>0</v>
      </c>
      <c r="I32" s="28">
        <f t="shared" si="21"/>
        <v>0</v>
      </c>
      <c r="J32" s="28">
        <f t="shared" si="21"/>
        <v>0</v>
      </c>
      <c r="K32" s="28">
        <f t="shared" si="21"/>
        <v>0</v>
      </c>
      <c r="L32" s="28">
        <f t="shared" si="21"/>
        <v>0</v>
      </c>
      <c r="M32" s="28">
        <f t="shared" si="21"/>
        <v>0</v>
      </c>
    </row>
    <row r="33" spans="1:13" ht="14.25">
      <c r="A33" s="22" t="s">
        <v>29</v>
      </c>
      <c r="B33" s="28">
        <f t="shared" ref="B33:M33" si="22">B115*B$1</f>
        <v>0</v>
      </c>
      <c r="C33" s="28">
        <f t="shared" si="22"/>
        <v>0</v>
      </c>
      <c r="D33" s="28">
        <f t="shared" si="22"/>
        <v>0</v>
      </c>
      <c r="E33" s="28">
        <f t="shared" si="22"/>
        <v>0</v>
      </c>
      <c r="F33" s="28">
        <f t="shared" si="22"/>
        <v>0</v>
      </c>
      <c r="G33" s="28">
        <f t="shared" si="22"/>
        <v>0</v>
      </c>
      <c r="H33" s="28">
        <f t="shared" si="22"/>
        <v>0</v>
      </c>
      <c r="I33" s="28">
        <f t="shared" si="22"/>
        <v>0</v>
      </c>
      <c r="J33" s="28">
        <f t="shared" si="22"/>
        <v>0</v>
      </c>
      <c r="K33" s="28">
        <f t="shared" si="22"/>
        <v>0</v>
      </c>
      <c r="L33" s="28">
        <f t="shared" si="22"/>
        <v>0</v>
      </c>
      <c r="M33" s="28">
        <f t="shared" si="22"/>
        <v>0</v>
      </c>
    </row>
    <row r="34" spans="1:13">
      <c r="A34" s="22" t="s">
        <v>30</v>
      </c>
      <c r="B34" s="28">
        <f t="shared" ref="B34:M34" si="23">B116*B$1</f>
        <v>6.7904270878442965</v>
      </c>
      <c r="C34" s="28">
        <f t="shared" si="23"/>
        <v>7.764677063770721</v>
      </c>
      <c r="D34" s="28">
        <f t="shared" si="23"/>
        <v>8.3114936977833604</v>
      </c>
      <c r="E34" s="28">
        <f t="shared" si="23"/>
        <v>8.5297167929796576</v>
      </c>
      <c r="F34" s="28">
        <f t="shared" si="23"/>
        <v>11.257057494833635</v>
      </c>
      <c r="G34" s="28">
        <f t="shared" si="23"/>
        <v>13.215349149560348</v>
      </c>
      <c r="H34" s="28">
        <f t="shared" si="23"/>
        <v>13.893420562944392</v>
      </c>
      <c r="I34" s="28">
        <f t="shared" si="23"/>
        <v>14.455960719521562</v>
      </c>
      <c r="J34" s="28">
        <f t="shared" si="23"/>
        <v>14.230869583731742</v>
      </c>
      <c r="K34" s="28">
        <f t="shared" si="23"/>
        <v>14.264513831176545</v>
      </c>
      <c r="L34" s="28">
        <f t="shared" si="23"/>
        <v>15.167320303458917</v>
      </c>
      <c r="M34" s="28">
        <f t="shared" si="23"/>
        <v>17.536599820389366</v>
      </c>
    </row>
    <row r="35" spans="1:13">
      <c r="A35" s="22" t="s">
        <v>31</v>
      </c>
      <c r="B35" s="28">
        <f t="shared" ref="B35:M35" si="24">B117*B$1</f>
        <v>6.8433738877495154</v>
      </c>
      <c r="C35" s="28">
        <f t="shared" si="24"/>
        <v>7.318902588388994</v>
      </c>
      <c r="D35" s="28">
        <f t="shared" si="24"/>
        <v>7.7804124209204639</v>
      </c>
      <c r="E35" s="28">
        <f t="shared" si="24"/>
        <v>7.8091162925626438</v>
      </c>
      <c r="F35" s="28">
        <f t="shared" si="24"/>
        <v>10.678198740848725</v>
      </c>
      <c r="G35" s="28">
        <f t="shared" si="24"/>
        <v>19.18808638314751</v>
      </c>
      <c r="H35" s="28">
        <f t="shared" si="24"/>
        <v>20.667510234462231</v>
      </c>
      <c r="I35" s="28">
        <f t="shared" si="24"/>
        <v>22.57612919740302</v>
      </c>
      <c r="J35" s="28">
        <f t="shared" si="24"/>
        <v>21.439119847939949</v>
      </c>
      <c r="K35" s="28">
        <f t="shared" si="24"/>
        <v>24.505473109343473</v>
      </c>
      <c r="L35" s="28">
        <f t="shared" si="24"/>
        <v>24.547624405297672</v>
      </c>
      <c r="M35" s="28">
        <f t="shared" si="24"/>
        <v>31.583748007073652</v>
      </c>
    </row>
    <row r="36" spans="1:13" ht="14.25">
      <c r="A36" s="22" t="s">
        <v>32</v>
      </c>
      <c r="B36" s="28">
        <f t="shared" ref="B36:M36" si="25">B118*B$1</f>
        <v>14.175182004624673</v>
      </c>
      <c r="C36" s="28">
        <f t="shared" si="25"/>
        <v>14.174834653384504</v>
      </c>
      <c r="D36" s="28">
        <f t="shared" si="25"/>
        <v>13.473661080793937</v>
      </c>
      <c r="E36" s="28">
        <f t="shared" si="25"/>
        <v>6.476266453929</v>
      </c>
      <c r="F36" s="28">
        <f t="shared" si="25"/>
        <v>1.2975986415263606E-6</v>
      </c>
      <c r="G36" s="28">
        <f t="shared" si="25"/>
        <v>21.674394128019543</v>
      </c>
      <c r="H36" s="28">
        <f t="shared" si="25"/>
        <v>25.113760209977873</v>
      </c>
      <c r="I36" s="28">
        <f t="shared" si="25"/>
        <v>27.381379005422009</v>
      </c>
      <c r="J36" s="28">
        <f t="shared" si="25"/>
        <v>25.327335581199989</v>
      </c>
      <c r="K36" s="28">
        <f t="shared" si="25"/>
        <v>30.670307491392624</v>
      </c>
      <c r="L36" s="28">
        <f t="shared" si="25"/>
        <v>35.758422270798505</v>
      </c>
      <c r="M36" s="28">
        <f t="shared" si="25"/>
        <v>37.699357120532973</v>
      </c>
    </row>
    <row r="37" spans="1:13">
      <c r="A37" s="22" t="s">
        <v>33</v>
      </c>
      <c r="B37" s="28">
        <f t="shared" ref="B37:M37" si="26">B119*B$1</f>
        <v>5.4032209303275671</v>
      </c>
      <c r="C37" s="28">
        <f t="shared" si="26"/>
        <v>3.5159304319425173</v>
      </c>
      <c r="D37" s="28">
        <f t="shared" si="26"/>
        <v>2.7329888443521519</v>
      </c>
      <c r="E37" s="28">
        <f t="shared" si="26"/>
        <v>3.7348515066903585</v>
      </c>
      <c r="F37" s="28">
        <f t="shared" si="26"/>
        <v>3.6981561283501274</v>
      </c>
      <c r="G37" s="28">
        <f t="shared" si="26"/>
        <v>1.6834110268504086</v>
      </c>
      <c r="H37" s="28">
        <f t="shared" si="26"/>
        <v>6.068376001410301</v>
      </c>
      <c r="I37" s="28">
        <f t="shared" si="26"/>
        <v>7.6514555651222862</v>
      </c>
      <c r="J37" s="28">
        <f t="shared" si="26"/>
        <v>9.1912402881708282</v>
      </c>
      <c r="K37" s="28">
        <f t="shared" si="26"/>
        <v>7.0764810637540085</v>
      </c>
      <c r="L37" s="28">
        <f t="shared" si="26"/>
        <v>8.7449691397711202</v>
      </c>
      <c r="M37" s="28">
        <f t="shared" si="26"/>
        <v>14.922747647061151</v>
      </c>
    </row>
    <row r="38" spans="1:13">
      <c r="A38" s="22" t="s">
        <v>34</v>
      </c>
      <c r="B38" s="28">
        <f t="shared" ref="B38:M38" si="27">B120*B$1</f>
        <v>2.9411947347348981</v>
      </c>
      <c r="C38" s="28">
        <f t="shared" si="27"/>
        <v>2.9683024414142243</v>
      </c>
      <c r="D38" s="28">
        <f t="shared" si="27"/>
        <v>3.1424156082484194</v>
      </c>
      <c r="E38" s="28">
        <f t="shared" si="27"/>
        <v>3.8040395982159048</v>
      </c>
      <c r="F38" s="28">
        <f t="shared" si="27"/>
        <v>3.6592281691043365</v>
      </c>
      <c r="G38" s="28">
        <f t="shared" si="27"/>
        <v>7.4601956541375234</v>
      </c>
      <c r="H38" s="28">
        <f t="shared" si="27"/>
        <v>10.905560887704937</v>
      </c>
      <c r="I38" s="28">
        <f t="shared" si="27"/>
        <v>9.6368882786866177</v>
      </c>
      <c r="J38" s="28">
        <f t="shared" si="27"/>
        <v>8.3922746681428784</v>
      </c>
      <c r="K38" s="28">
        <f t="shared" si="27"/>
        <v>11.482132256915591</v>
      </c>
      <c r="L38" s="28">
        <f t="shared" si="27"/>
        <v>12.295293815095794</v>
      </c>
      <c r="M38" s="28">
        <f t="shared" si="27"/>
        <v>14.680486926798775</v>
      </c>
    </row>
    <row r="39" spans="1:13" ht="14.25">
      <c r="A39" s="13" t="s">
        <v>35</v>
      </c>
      <c r="B39" s="26">
        <f t="shared" ref="B39:M39" si="28">B121*B$1</f>
        <v>157.44392786815592</v>
      </c>
      <c r="C39" s="26">
        <f t="shared" si="28"/>
        <v>121.05753245692824</v>
      </c>
      <c r="D39" s="26">
        <f t="shared" si="28"/>
        <v>115.05413628241659</v>
      </c>
      <c r="E39" s="26">
        <f t="shared" si="28"/>
        <v>245.60336512310988</v>
      </c>
      <c r="F39" s="26">
        <f t="shared" si="28"/>
        <v>331.88031654998957</v>
      </c>
      <c r="G39" s="26">
        <f t="shared" si="28"/>
        <v>304.24059725173095</v>
      </c>
      <c r="H39" s="26">
        <f t="shared" si="28"/>
        <v>234.86557107319848</v>
      </c>
      <c r="I39" s="26">
        <f t="shared" si="28"/>
        <v>183.36853373048194</v>
      </c>
      <c r="J39" s="26">
        <f t="shared" si="28"/>
        <v>113.78374180760996</v>
      </c>
      <c r="K39" s="26">
        <f t="shared" si="28"/>
        <v>147.98449008666751</v>
      </c>
      <c r="L39" s="26">
        <f t="shared" si="28"/>
        <v>127.25577021987914</v>
      </c>
      <c r="M39" s="26">
        <f t="shared" si="28"/>
        <v>198.58367600457333</v>
      </c>
    </row>
    <row r="40" spans="1:13" ht="14.25">
      <c r="A40" s="29" t="s">
        <v>36</v>
      </c>
      <c r="B40" s="26">
        <f t="shared" ref="B40:M40" si="29">B122*B$1</f>
        <v>0</v>
      </c>
      <c r="C40" s="26">
        <f t="shared" si="29"/>
        <v>11.022666775536868</v>
      </c>
      <c r="D40" s="26">
        <f t="shared" si="29"/>
        <v>13.226831506253927</v>
      </c>
      <c r="E40" s="26">
        <f t="shared" si="29"/>
        <v>0</v>
      </c>
      <c r="F40" s="26">
        <f t="shared" si="29"/>
        <v>0</v>
      </c>
      <c r="G40" s="26">
        <f t="shared" si="29"/>
        <v>0</v>
      </c>
      <c r="H40" s="26">
        <f t="shared" si="29"/>
        <v>0</v>
      </c>
      <c r="I40" s="26">
        <f t="shared" si="29"/>
        <v>0</v>
      </c>
      <c r="J40" s="26">
        <f t="shared" si="29"/>
        <v>0</v>
      </c>
      <c r="K40" s="26">
        <f t="shared" si="29"/>
        <v>5.2021560014246724</v>
      </c>
      <c r="L40" s="26">
        <f t="shared" si="29"/>
        <v>11.278497492606403</v>
      </c>
      <c r="M40" s="26">
        <f t="shared" si="29"/>
        <v>20.385919159390589</v>
      </c>
    </row>
    <row r="41" spans="1:13" ht="14.25">
      <c r="A41" s="29" t="s">
        <v>37</v>
      </c>
      <c r="B41" s="26">
        <f t="shared" ref="B41:M41" si="30">B123*B$1</f>
        <v>0</v>
      </c>
      <c r="C41" s="26">
        <f t="shared" si="30"/>
        <v>0</v>
      </c>
      <c r="D41" s="26">
        <f t="shared" si="30"/>
        <v>0</v>
      </c>
      <c r="E41" s="26">
        <f t="shared" si="30"/>
        <v>0</v>
      </c>
      <c r="F41" s="26">
        <f t="shared" si="30"/>
        <v>0</v>
      </c>
      <c r="G41" s="26">
        <f t="shared" si="30"/>
        <v>0</v>
      </c>
      <c r="H41" s="26">
        <f t="shared" si="30"/>
        <v>0</v>
      </c>
      <c r="I41" s="26">
        <f t="shared" si="30"/>
        <v>0</v>
      </c>
      <c r="J41" s="26">
        <f t="shared" si="30"/>
        <v>0</v>
      </c>
      <c r="K41" s="26">
        <f t="shared" si="30"/>
        <v>0</v>
      </c>
      <c r="L41" s="26">
        <f t="shared" si="30"/>
        <v>1646.6866722386526</v>
      </c>
      <c r="M41" s="26">
        <f t="shared" si="30"/>
        <v>2671.5564978300345</v>
      </c>
    </row>
    <row r="42" spans="1:13" ht="14.25">
      <c r="A42" s="29" t="s">
        <v>38</v>
      </c>
      <c r="B42" s="26">
        <f t="shared" ref="B42:M42" si="31">B124*B$1</f>
        <v>0</v>
      </c>
      <c r="C42" s="26">
        <f t="shared" si="31"/>
        <v>0</v>
      </c>
      <c r="D42" s="26">
        <f t="shared" si="31"/>
        <v>0</v>
      </c>
      <c r="E42" s="26">
        <f t="shared" si="31"/>
        <v>0</v>
      </c>
      <c r="F42" s="26">
        <f t="shared" si="31"/>
        <v>0</v>
      </c>
      <c r="G42" s="26">
        <f t="shared" si="31"/>
        <v>0</v>
      </c>
      <c r="H42" s="26">
        <f t="shared" si="31"/>
        <v>0</v>
      </c>
      <c r="I42" s="26">
        <f t="shared" si="31"/>
        <v>0</v>
      </c>
      <c r="J42" s="26">
        <f t="shared" si="31"/>
        <v>0</v>
      </c>
      <c r="K42" s="26">
        <f t="shared" si="31"/>
        <v>0</v>
      </c>
      <c r="L42" s="26">
        <f t="shared" si="31"/>
        <v>0</v>
      </c>
      <c r="M42" s="26">
        <f t="shared" si="31"/>
        <v>74.158954618643904</v>
      </c>
    </row>
    <row r="43" spans="1:13">
      <c r="A43" s="30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</row>
    <row r="44" spans="1:13">
      <c r="A44" s="11" t="s">
        <v>39</v>
      </c>
      <c r="B44" s="31">
        <f t="shared" ref="B44:M44" si="32">B126*B$1</f>
        <v>11.022200070268902</v>
      </c>
      <c r="C44" s="31">
        <f t="shared" si="32"/>
        <v>11.545162080509513</v>
      </c>
      <c r="D44" s="31">
        <f t="shared" si="32"/>
        <v>40.431544888202069</v>
      </c>
      <c r="E44" s="31">
        <f t="shared" si="32"/>
        <v>35.065308046560538</v>
      </c>
      <c r="F44" s="31">
        <f t="shared" si="32"/>
        <v>32.041603255210418</v>
      </c>
      <c r="G44" s="31">
        <f t="shared" si="32"/>
        <v>0.21631131864290962</v>
      </c>
      <c r="H44" s="31">
        <f t="shared" si="32"/>
        <v>4.8232229251953862E-2</v>
      </c>
      <c r="I44" s="31">
        <f t="shared" si="32"/>
        <v>0.12063388639378214</v>
      </c>
      <c r="J44" s="31">
        <f t="shared" si="32"/>
        <v>2.5085262795226059E-2</v>
      </c>
      <c r="K44" s="31">
        <f t="shared" si="32"/>
        <v>9.8729668764098333E-2</v>
      </c>
      <c r="L44" s="31">
        <f t="shared" si="32"/>
        <v>0.25257168574000255</v>
      </c>
      <c r="M44" s="31">
        <f t="shared" si="32"/>
        <v>0.34095953222111891</v>
      </c>
    </row>
    <row r="45" spans="1:13">
      <c r="A45" s="1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</row>
    <row r="46" spans="1:13">
      <c r="A46" s="11" t="s">
        <v>40</v>
      </c>
      <c r="B46" s="31">
        <f t="shared" ref="B46:M46" si="33">B128*B$1</f>
        <v>167.79899825961905</v>
      </c>
      <c r="C46" s="31">
        <f t="shared" si="33"/>
        <v>103.16186984567651</v>
      </c>
      <c r="D46" s="31">
        <f t="shared" si="33"/>
        <v>14.215192929927081</v>
      </c>
      <c r="E46" s="31">
        <f t="shared" si="33"/>
        <v>59.878246364724234</v>
      </c>
      <c r="F46" s="31">
        <f t="shared" si="33"/>
        <v>70.17153933646253</v>
      </c>
      <c r="G46" s="31">
        <f t="shared" si="33"/>
        <v>155.00360126142331</v>
      </c>
      <c r="H46" s="31">
        <f t="shared" si="33"/>
        <v>136.69521477680061</v>
      </c>
      <c r="I46" s="31">
        <f t="shared" si="33"/>
        <v>149.97807925906966</v>
      </c>
      <c r="J46" s="31">
        <f t="shared" si="33"/>
        <v>95.07063746762725</v>
      </c>
      <c r="K46" s="31">
        <f t="shared" si="33"/>
        <v>69.037682535913589</v>
      </c>
      <c r="L46" s="31">
        <f t="shared" si="33"/>
        <v>105.39035296386783</v>
      </c>
      <c r="M46" s="31">
        <f t="shared" si="33"/>
        <v>41.971349334768107</v>
      </c>
    </row>
    <row r="47" spans="1:13">
      <c r="A47" s="30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48" spans="1:13">
      <c r="A48" s="9" t="s">
        <v>41</v>
      </c>
      <c r="B48" s="10">
        <f t="shared" ref="B48:M48" si="34">B130*B$1</f>
        <v>2268.193255819654</v>
      </c>
      <c r="C48" s="10">
        <f t="shared" si="34"/>
        <v>2277.7924879562343</v>
      </c>
      <c r="D48" s="10">
        <f t="shared" si="34"/>
        <v>2410.2360312937658</v>
      </c>
      <c r="E48" s="10">
        <f t="shared" si="34"/>
        <v>2327.6251223845961</v>
      </c>
      <c r="F48" s="10">
        <f t="shared" si="34"/>
        <v>2812.8032776380501</v>
      </c>
      <c r="G48" s="10">
        <f t="shared" si="34"/>
        <v>3054.0402131695428</v>
      </c>
      <c r="H48" s="10">
        <f t="shared" si="34"/>
        <v>3231.9610835798098</v>
      </c>
      <c r="I48" s="10">
        <f t="shared" si="34"/>
        <v>3549.3530356270212</v>
      </c>
      <c r="J48" s="10">
        <f t="shared" si="34"/>
        <v>4082.2678006650699</v>
      </c>
      <c r="K48" s="10">
        <f t="shared" si="34"/>
        <v>4965.6347192211815</v>
      </c>
      <c r="L48" s="10">
        <f t="shared" si="34"/>
        <v>7721.6214462517682</v>
      </c>
      <c r="M48" s="10">
        <f t="shared" si="34"/>
        <v>10307.601454292258</v>
      </c>
    </row>
    <row r="49" spans="1:13">
      <c r="A49" s="11" t="s">
        <v>42</v>
      </c>
      <c r="B49" s="12">
        <f t="shared" ref="B49:M49" si="35">B131*B$1</f>
        <v>1521.0900830970609</v>
      </c>
      <c r="C49" s="12">
        <f t="shared" si="35"/>
        <v>1614.4946190903897</v>
      </c>
      <c r="D49" s="10">
        <f t="shared" si="35"/>
        <v>1745.0648814410588</v>
      </c>
      <c r="E49" s="10">
        <f t="shared" si="35"/>
        <v>1927.3145737389855</v>
      </c>
      <c r="F49" s="10">
        <f t="shared" si="35"/>
        <v>2207.887575092514</v>
      </c>
      <c r="G49" s="10">
        <f t="shared" si="35"/>
        <v>2308.1695208397973</v>
      </c>
      <c r="H49" s="10">
        <f t="shared" si="35"/>
        <v>2533.6167903942969</v>
      </c>
      <c r="I49" s="10">
        <f t="shared" si="35"/>
        <v>2716.6977404416725</v>
      </c>
      <c r="J49" s="10">
        <f t="shared" si="35"/>
        <v>3127.5891746251732</v>
      </c>
      <c r="K49" s="10">
        <f t="shared" si="35"/>
        <v>3627.1914757212403</v>
      </c>
      <c r="L49" s="10">
        <f t="shared" si="35"/>
        <v>4361.5489970425615</v>
      </c>
      <c r="M49" s="10">
        <f t="shared" si="35"/>
        <v>4900.708773623347</v>
      </c>
    </row>
    <row r="50" spans="1:13">
      <c r="A50" s="33" t="s">
        <v>43</v>
      </c>
      <c r="B50" s="24">
        <f t="shared" ref="B50:M50" si="36">B132*B$1</f>
        <v>460.55641530554715</v>
      </c>
      <c r="C50" s="24">
        <f t="shared" si="36"/>
        <v>509.12207071119468</v>
      </c>
      <c r="D50" s="24">
        <f t="shared" si="36"/>
        <v>551.62589462500614</v>
      </c>
      <c r="E50" s="24">
        <f t="shared" si="36"/>
        <v>583.03003227327122</v>
      </c>
      <c r="F50" s="24">
        <f t="shared" si="36"/>
        <v>640.50130721048333</v>
      </c>
      <c r="G50" s="24">
        <f t="shared" si="36"/>
        <v>692.75837460187802</v>
      </c>
      <c r="H50" s="24">
        <f t="shared" si="36"/>
        <v>754.60604626564566</v>
      </c>
      <c r="I50" s="24">
        <f t="shared" si="36"/>
        <v>861.41265445745</v>
      </c>
      <c r="J50" s="24">
        <f t="shared" si="36"/>
        <v>901.21565970757092</v>
      </c>
      <c r="K50" s="24">
        <f t="shared" si="36"/>
        <v>997.70651311884149</v>
      </c>
      <c r="L50" s="24">
        <f t="shared" si="36"/>
        <v>1142.5667368522568</v>
      </c>
      <c r="M50" s="24">
        <f t="shared" si="36"/>
        <v>1345.1020180480991</v>
      </c>
    </row>
    <row r="51" spans="1:13">
      <c r="A51" s="33" t="s">
        <v>44</v>
      </c>
      <c r="B51" s="20" t="s">
        <v>45</v>
      </c>
      <c r="C51" s="20" t="s">
        <v>45</v>
      </c>
      <c r="D51" s="20" t="s">
        <v>45</v>
      </c>
      <c r="E51" s="20" t="s">
        <v>45</v>
      </c>
      <c r="F51" s="20" t="s">
        <v>45</v>
      </c>
      <c r="G51" s="20" t="s">
        <v>45</v>
      </c>
      <c r="H51" s="20" t="s">
        <v>45</v>
      </c>
      <c r="I51" s="20" t="s">
        <v>45</v>
      </c>
      <c r="J51" s="20" t="s">
        <v>45</v>
      </c>
      <c r="K51" s="20" t="s">
        <v>45</v>
      </c>
      <c r="L51" s="20" t="s">
        <v>45</v>
      </c>
      <c r="M51" s="20" t="s">
        <v>45</v>
      </c>
    </row>
    <row r="52" spans="1:13">
      <c r="A52" s="33" t="s">
        <v>46</v>
      </c>
      <c r="B52" s="20" t="s">
        <v>45</v>
      </c>
      <c r="C52" s="20" t="s">
        <v>45</v>
      </c>
      <c r="D52" s="20" t="s">
        <v>45</v>
      </c>
      <c r="E52" s="20" t="s">
        <v>45</v>
      </c>
      <c r="F52" s="20" t="s">
        <v>45</v>
      </c>
      <c r="G52" s="20" t="s">
        <v>45</v>
      </c>
      <c r="H52" s="20" t="s">
        <v>45</v>
      </c>
      <c r="I52" s="20" t="s">
        <v>45</v>
      </c>
      <c r="J52" s="20" t="s">
        <v>45</v>
      </c>
      <c r="K52" s="20" t="s">
        <v>45</v>
      </c>
      <c r="L52" s="20" t="s">
        <v>45</v>
      </c>
      <c r="M52" s="20" t="s">
        <v>45</v>
      </c>
    </row>
    <row r="53" spans="1:13" ht="14.25">
      <c r="A53" s="33" t="s">
        <v>47</v>
      </c>
      <c r="B53" s="17">
        <f t="shared" ref="B53:M53" si="37">B135*B$1</f>
        <v>86.508452695139184</v>
      </c>
      <c r="C53" s="17">
        <f t="shared" si="37"/>
        <v>80.77248305707522</v>
      </c>
      <c r="D53" s="17">
        <f t="shared" si="37"/>
        <v>82.661177379630104</v>
      </c>
      <c r="E53" s="17">
        <f t="shared" si="37"/>
        <v>84.664031620553374</v>
      </c>
      <c r="F53" s="17">
        <f t="shared" si="37"/>
        <v>87.286865418195219</v>
      </c>
      <c r="G53" s="17">
        <f t="shared" si="37"/>
        <v>102.13329772653192</v>
      </c>
      <c r="H53" s="17">
        <f t="shared" si="37"/>
        <v>108.02369302489573</v>
      </c>
      <c r="I53" s="17">
        <f t="shared" si="37"/>
        <v>106.94571009703769</v>
      </c>
      <c r="J53" s="17">
        <f t="shared" si="37"/>
        <v>97.350887855713296</v>
      </c>
      <c r="K53" s="17">
        <f t="shared" si="37"/>
        <v>101.49538169298353</v>
      </c>
      <c r="L53" s="17">
        <f t="shared" si="37"/>
        <v>116.62953259611675</v>
      </c>
      <c r="M53" s="17">
        <f t="shared" si="37"/>
        <v>158.17189607902867</v>
      </c>
    </row>
    <row r="54" spans="1:13">
      <c r="A54" s="33" t="s">
        <v>48</v>
      </c>
      <c r="B54" s="17">
        <f t="shared" ref="B54:M54" si="38">B136*B$1</f>
        <v>0</v>
      </c>
      <c r="C54" s="17">
        <f t="shared" si="38"/>
        <v>0</v>
      </c>
      <c r="D54" s="17">
        <f t="shared" si="38"/>
        <v>0</v>
      </c>
      <c r="E54" s="17">
        <f t="shared" si="38"/>
        <v>0</v>
      </c>
      <c r="F54" s="17">
        <f t="shared" si="38"/>
        <v>0</v>
      </c>
      <c r="G54" s="17">
        <f t="shared" si="38"/>
        <v>0</v>
      </c>
      <c r="H54" s="17">
        <f t="shared" si="38"/>
        <v>0</v>
      </c>
      <c r="I54" s="17">
        <f t="shared" si="38"/>
        <v>0</v>
      </c>
      <c r="J54" s="17">
        <f t="shared" si="38"/>
        <v>0</v>
      </c>
      <c r="K54" s="17">
        <f t="shared" si="38"/>
        <v>0</v>
      </c>
      <c r="L54" s="17">
        <f t="shared" si="38"/>
        <v>0</v>
      </c>
      <c r="M54" s="17">
        <f t="shared" si="38"/>
        <v>0</v>
      </c>
    </row>
    <row r="55" spans="1:13">
      <c r="A55" s="30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</row>
    <row r="56" spans="1:13">
      <c r="A56" s="11" t="s">
        <v>49</v>
      </c>
      <c r="B56" s="31">
        <f t="shared" ref="B56:M56" si="39">B138*B$1</f>
        <v>747.10317272259306</v>
      </c>
      <c r="C56" s="31">
        <f t="shared" si="39"/>
        <v>663.29786886584486</v>
      </c>
      <c r="D56" s="31">
        <f t="shared" si="39"/>
        <v>665.17114985270689</v>
      </c>
      <c r="E56" s="31">
        <f t="shared" si="39"/>
        <v>400.31054864561054</v>
      </c>
      <c r="F56" s="31">
        <f t="shared" si="39"/>
        <v>604.91570254553608</v>
      </c>
      <c r="G56" s="31">
        <f t="shared" si="39"/>
        <v>745.87069232974522</v>
      </c>
      <c r="H56" s="31">
        <f t="shared" si="39"/>
        <v>698.34429318551327</v>
      </c>
      <c r="I56" s="31">
        <f t="shared" si="39"/>
        <v>832.6552951853489</v>
      </c>
      <c r="J56" s="31">
        <f t="shared" si="39"/>
        <v>954.67862603989647</v>
      </c>
      <c r="K56" s="31">
        <f t="shared" si="39"/>
        <v>1338.443243499941</v>
      </c>
      <c r="L56" s="31">
        <f t="shared" si="39"/>
        <v>3360.0724492092068</v>
      </c>
      <c r="M56" s="31">
        <f t="shared" si="39"/>
        <v>5406.8926806689115</v>
      </c>
    </row>
    <row r="57" spans="1:13">
      <c r="A57" s="8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</row>
    <row r="58" spans="1:13" ht="18" customHeight="1">
      <c r="A58" s="34" t="s">
        <v>50</v>
      </c>
      <c r="B58" s="35">
        <f t="shared" ref="B58:H58" si="40">B11-B49</f>
        <v>202.70444083113421</v>
      </c>
      <c r="C58" s="35">
        <f t="shared" si="40"/>
        <v>191.02229933861327</v>
      </c>
      <c r="D58" s="35">
        <f t="shared" si="40"/>
        <v>155.0895542570147</v>
      </c>
      <c r="E58" s="35">
        <f t="shared" si="40"/>
        <v>183.70782898792459</v>
      </c>
      <c r="F58" s="35">
        <f t="shared" si="40"/>
        <v>93.040678612050215</v>
      </c>
      <c r="G58" s="35">
        <f t="shared" si="40"/>
        <v>173.81632388574917</v>
      </c>
      <c r="H58" s="35">
        <f t="shared" si="40"/>
        <v>220.90500617005819</v>
      </c>
      <c r="I58" s="35">
        <f>I11-I49</f>
        <v>306.50481930514525</v>
      </c>
      <c r="J58" s="35">
        <f>J11-J49</f>
        <v>-275.3717163661986</v>
      </c>
      <c r="K58" s="35">
        <f>K11-K49</f>
        <v>-203.29015790098538</v>
      </c>
      <c r="L58" s="35">
        <f>L11-L49</f>
        <v>1229.6505898804162</v>
      </c>
      <c r="M58" s="35">
        <f>M11-M49</f>
        <v>2763.2571794800788</v>
      </c>
    </row>
    <row r="59" spans="1:13" ht="18" customHeight="1">
      <c r="A59" s="34" t="s">
        <v>51</v>
      </c>
      <c r="B59" s="35">
        <f t="shared" ref="B59:H59" si="41">B10-(B48-B53)</f>
        <v>-279.06908086643193</v>
      </c>
      <c r="C59" s="35">
        <f t="shared" si="41"/>
        <v>-276.79605454397029</v>
      </c>
      <c r="D59" s="35">
        <f t="shared" si="41"/>
        <v>-372.77368039793282</v>
      </c>
      <c r="E59" s="35">
        <f t="shared" si="41"/>
        <v>-36.995133625847757</v>
      </c>
      <c r="F59" s="35">
        <f t="shared" si="41"/>
        <v>-322.37501592361832</v>
      </c>
      <c r="G59" s="35">
        <f t="shared" si="41"/>
        <v>-314.70115813739858</v>
      </c>
      <c r="H59" s="35">
        <f t="shared" si="41"/>
        <v>-232.67214698450653</v>
      </c>
      <c r="I59" s="35">
        <f>I10-(I48-I53)</f>
        <v>-269.10605263770231</v>
      </c>
      <c r="J59" s="35">
        <f>J10-(J48-J53)</f>
        <v>-1037.6037318199601</v>
      </c>
      <c r="K59" s="35">
        <f>K10-(K48-K53)</f>
        <v>-1371.1016075032653</v>
      </c>
      <c r="L59" s="35">
        <f>L10-(L48-L53)</f>
        <v>-1908.149402083066</v>
      </c>
      <c r="M59" s="35">
        <f>M10-(M48-M53)</f>
        <v>-2443.1512962428142</v>
      </c>
    </row>
    <row r="60" spans="1:13" ht="18" customHeight="1">
      <c r="A60" s="34" t="s">
        <v>52</v>
      </c>
      <c r="B60" s="36">
        <f t="shared" ref="B60:H60" si="42">B10-B48</f>
        <v>-365.57753356157104</v>
      </c>
      <c r="C60" s="36">
        <f t="shared" si="42"/>
        <v>-357.56853760104536</v>
      </c>
      <c r="D60" s="36">
        <f t="shared" si="42"/>
        <v>-455.43485777756314</v>
      </c>
      <c r="E60" s="36">
        <f t="shared" si="42"/>
        <v>-121.65916524640124</v>
      </c>
      <c r="F60" s="36">
        <f t="shared" si="42"/>
        <v>-409.66188134181357</v>
      </c>
      <c r="G60" s="36">
        <f t="shared" si="42"/>
        <v>-416.83445586393054</v>
      </c>
      <c r="H60" s="36">
        <f t="shared" si="42"/>
        <v>-340.69584000940222</v>
      </c>
      <c r="I60" s="36">
        <f>I10-I48</f>
        <v>-376.0517627347399</v>
      </c>
      <c r="J60" s="36">
        <f>J10-J48</f>
        <v>-1134.9546196756733</v>
      </c>
      <c r="K60" s="36">
        <f>K10-K48</f>
        <v>-1472.5969891962491</v>
      </c>
      <c r="L60" s="36">
        <f>L10-L48</f>
        <v>-2024.7789346791824</v>
      </c>
      <c r="M60" s="36">
        <f>M10-M48</f>
        <v>-2601.3231923218436</v>
      </c>
    </row>
    <row r="61" spans="1:13">
      <c r="A61" s="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</row>
    <row r="62" spans="1:13">
      <c r="A62" s="9" t="s">
        <v>53</v>
      </c>
      <c r="B62" s="12">
        <f t="shared" ref="B62:M62" si="43">SUM(B64,B65,B69)</f>
        <v>365.57779829557057</v>
      </c>
      <c r="C62" s="12">
        <f t="shared" si="43"/>
        <v>357.56933126479964</v>
      </c>
      <c r="D62" s="12">
        <f t="shared" si="43"/>
        <v>455.43342347998271</v>
      </c>
      <c r="E62" s="12">
        <f t="shared" si="43"/>
        <v>121.65877361569426</v>
      </c>
      <c r="F62" s="12">
        <f t="shared" si="43"/>
        <v>409.66032552104195</v>
      </c>
      <c r="G62" s="12">
        <f t="shared" si="43"/>
        <v>416.83369241221686</v>
      </c>
      <c r="H62" s="12">
        <f t="shared" si="43"/>
        <v>340.69672849783569</v>
      </c>
      <c r="I62" s="12">
        <f t="shared" si="43"/>
        <v>376.05276801712705</v>
      </c>
      <c r="J62" s="12">
        <f t="shared" si="43"/>
        <v>1134.9551213809282</v>
      </c>
      <c r="K62" s="12">
        <f t="shared" si="43"/>
        <v>1472.5966045352018</v>
      </c>
      <c r="L62" s="12">
        <f t="shared" si="43"/>
        <v>2024.7786742960011</v>
      </c>
      <c r="M62" s="12">
        <f t="shared" si="43"/>
        <v>2601.3238332232195</v>
      </c>
    </row>
    <row r="63" spans="1:13">
      <c r="A63" s="8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</row>
    <row r="64" spans="1:13">
      <c r="A64" s="37" t="s">
        <v>54</v>
      </c>
      <c r="B64" s="26">
        <f t="shared" ref="B64:M64" si="44">B146*B$1</f>
        <v>291.79246161765548</v>
      </c>
      <c r="C64" s="26">
        <f t="shared" si="44"/>
        <v>245.31088429819553</v>
      </c>
      <c r="D64" s="26">
        <f t="shared" si="44"/>
        <v>-179.33153040034776</v>
      </c>
      <c r="E64" s="26">
        <f t="shared" si="44"/>
        <v>-68.728578162961895</v>
      </c>
      <c r="F64" s="26">
        <f t="shared" si="44"/>
        <v>101.69021033913782</v>
      </c>
      <c r="G64" s="26">
        <f t="shared" si="44"/>
        <v>111.21035686654912</v>
      </c>
      <c r="H64" s="26">
        <f t="shared" si="44"/>
        <v>69.830494584059721</v>
      </c>
      <c r="I64" s="26">
        <f t="shared" si="44"/>
        <v>137.77985711958672</v>
      </c>
      <c r="J64" s="26">
        <f t="shared" si="44"/>
        <v>29.134024210375546</v>
      </c>
      <c r="K64" s="26">
        <f t="shared" si="44"/>
        <v>149.80880921286959</v>
      </c>
      <c r="L64" s="26">
        <f t="shared" si="44"/>
        <v>406.99062942008487</v>
      </c>
      <c r="M64" s="26">
        <f t="shared" si="44"/>
        <v>615.81008747116925</v>
      </c>
    </row>
    <row r="65" spans="1:13">
      <c r="A65" s="9" t="s">
        <v>55</v>
      </c>
      <c r="B65" s="10">
        <f t="shared" ref="B65:M65" si="45">SUM(B66:B67)</f>
        <v>-195.13410738068583</v>
      </c>
      <c r="C65" s="10">
        <f t="shared" si="45"/>
        <v>135.73766636727365</v>
      </c>
      <c r="D65" s="10">
        <f t="shared" si="45"/>
        <v>150.07016467861112</v>
      </c>
      <c r="E65" s="10">
        <f t="shared" si="45"/>
        <v>379.78909961199554</v>
      </c>
      <c r="F65" s="10">
        <f t="shared" si="45"/>
        <v>130.67493071464045</v>
      </c>
      <c r="G65" s="10">
        <f t="shared" si="45"/>
        <v>5.7233430073871077</v>
      </c>
      <c r="H65" s="10">
        <f t="shared" si="45"/>
        <v>-325.93817405441411</v>
      </c>
      <c r="I65" s="10">
        <f t="shared" si="45"/>
        <v>342.45535103437044</v>
      </c>
      <c r="J65" s="10">
        <f t="shared" si="45"/>
        <v>759.01106771085369</v>
      </c>
      <c r="K65" s="10">
        <f t="shared" si="45"/>
        <v>-1451.7851596818239</v>
      </c>
      <c r="L65" s="10">
        <f t="shared" si="45"/>
        <v>302.53921820753504</v>
      </c>
      <c r="M65" s="10">
        <f t="shared" si="45"/>
        <v>2092.5737570667288</v>
      </c>
    </row>
    <row r="66" spans="1:13">
      <c r="A66" s="8" t="s">
        <v>56</v>
      </c>
      <c r="B66" s="38">
        <f t="shared" ref="B66:M66" si="46">B148*B$1</f>
        <v>-103.45407600480442</v>
      </c>
      <c r="C66" s="38">
        <f t="shared" si="46"/>
        <v>228.76696333796036</v>
      </c>
      <c r="D66" s="38">
        <f t="shared" si="46"/>
        <v>151.90867339547015</v>
      </c>
      <c r="E66" s="38">
        <f t="shared" si="46"/>
        <v>365.61337346339343</v>
      </c>
      <c r="F66" s="38">
        <f t="shared" si="46"/>
        <v>110.06906428720184</v>
      </c>
      <c r="G66" s="38">
        <f t="shared" si="46"/>
        <v>-19.53927417106188</v>
      </c>
      <c r="H66" s="38">
        <f t="shared" si="46"/>
        <v>-305.38235950874588</v>
      </c>
      <c r="I66" s="38">
        <f t="shared" si="46"/>
        <v>309.67183580387689</v>
      </c>
      <c r="J66" s="38">
        <f t="shared" si="46"/>
        <v>751.33372303237479</v>
      </c>
      <c r="K66" s="38">
        <f t="shared" si="46"/>
        <v>-1476.3983378843645</v>
      </c>
      <c r="L66" s="38">
        <f t="shared" si="46"/>
        <v>0</v>
      </c>
      <c r="M66" s="38">
        <f t="shared" si="46"/>
        <v>1698.4322286356316</v>
      </c>
    </row>
    <row r="67" spans="1:13">
      <c r="A67" s="8" t="s">
        <v>57</v>
      </c>
      <c r="B67" s="38">
        <f t="shared" ref="B67:M67" si="47">B149*B$1</f>
        <v>-91.680031375881413</v>
      </c>
      <c r="C67" s="38">
        <f t="shared" si="47"/>
        <v>-93.029296970686715</v>
      </c>
      <c r="D67" s="38">
        <f t="shared" si="47"/>
        <v>-1.8385087168590337</v>
      </c>
      <c r="E67" s="38">
        <f t="shared" si="47"/>
        <v>14.175726148602099</v>
      </c>
      <c r="F67" s="38">
        <f t="shared" si="47"/>
        <v>20.605866427438606</v>
      </c>
      <c r="G67" s="38">
        <f t="shared" si="47"/>
        <v>25.262617178448988</v>
      </c>
      <c r="H67" s="38">
        <f t="shared" si="47"/>
        <v>-20.55581454566823</v>
      </c>
      <c r="I67" s="38">
        <f t="shared" si="47"/>
        <v>32.78351523049357</v>
      </c>
      <c r="J67" s="38">
        <f t="shared" si="47"/>
        <v>7.6773446784789359</v>
      </c>
      <c r="K67" s="38">
        <f t="shared" si="47"/>
        <v>24.61317820254067</v>
      </c>
      <c r="L67" s="38">
        <f t="shared" si="47"/>
        <v>302.53921820753504</v>
      </c>
      <c r="M67" s="38">
        <f t="shared" si="47"/>
        <v>394.14152843109713</v>
      </c>
    </row>
    <row r="68" spans="1:13">
      <c r="A68" s="8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</row>
    <row r="69" spans="1:13">
      <c r="A69" s="8" t="s">
        <v>48</v>
      </c>
      <c r="B69" s="24">
        <f t="shared" ref="B69:M69" si="48">B151*B$1</f>
        <v>268.91944405860096</v>
      </c>
      <c r="C69" s="24">
        <f t="shared" si="48"/>
        <v>-23.479219400669557</v>
      </c>
      <c r="D69" s="24">
        <f t="shared" si="48"/>
        <v>484.69478920171935</v>
      </c>
      <c r="E69" s="24">
        <f t="shared" si="48"/>
        <v>-189.40174783333941</v>
      </c>
      <c r="F69" s="24">
        <f t="shared" si="48"/>
        <v>177.29518446726368</v>
      </c>
      <c r="G69" s="24">
        <f t="shared" si="48"/>
        <v>299.89999253828063</v>
      </c>
      <c r="H69" s="24">
        <f t="shared" si="48"/>
        <v>596.80440796819005</v>
      </c>
      <c r="I69" s="24">
        <f t="shared" si="48"/>
        <v>-104.1824401368301</v>
      </c>
      <c r="J69" s="24">
        <f t="shared" si="48"/>
        <v>346.81002945969908</v>
      </c>
      <c r="K69" s="24">
        <f t="shared" si="48"/>
        <v>2774.572955004156</v>
      </c>
      <c r="L69" s="24">
        <f t="shared" si="48"/>
        <v>1315.2488266683813</v>
      </c>
      <c r="M69" s="24">
        <f t="shared" si="48"/>
        <v>-107.0600113146786</v>
      </c>
    </row>
    <row r="70" spans="1:13" ht="13.5" thickBot="1">
      <c r="A70" s="39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</row>
    <row r="71" spans="1:13">
      <c r="A71" s="41" t="s">
        <v>58</v>
      </c>
    </row>
    <row r="72" spans="1:13">
      <c r="A72" s="1" t="s">
        <v>59</v>
      </c>
    </row>
    <row r="73" spans="1:13">
      <c r="A73" s="1" t="s">
        <v>60</v>
      </c>
    </row>
    <row r="74" spans="1:13">
      <c r="A74" s="1" t="s">
        <v>61</v>
      </c>
    </row>
    <row r="75" spans="1:13">
      <c r="A75" s="1" t="s">
        <v>62</v>
      </c>
    </row>
    <row r="76" spans="1:13">
      <c r="A76" s="1" t="s">
        <v>63</v>
      </c>
    </row>
    <row r="77" spans="1:13" ht="15">
      <c r="A77" t="s">
        <v>64</v>
      </c>
    </row>
    <row r="78" spans="1:13">
      <c r="A78" s="1" t="s">
        <v>65</v>
      </c>
    </row>
    <row r="79" spans="1:13">
      <c r="A79" s="1" t="s">
        <v>66</v>
      </c>
    </row>
    <row r="80" spans="1:13">
      <c r="A80" s="1" t="s">
        <v>67</v>
      </c>
    </row>
    <row r="81" spans="1:13">
      <c r="A81" s="50" t="s">
        <v>69</v>
      </c>
    </row>
    <row r="82" spans="1:13">
      <c r="A82" s="46" t="s">
        <v>70</v>
      </c>
    </row>
    <row r="86" spans="1:13">
      <c r="A86" s="4" t="s">
        <v>2</v>
      </c>
    </row>
    <row r="87" spans="1:13">
      <c r="A87" s="4" t="s">
        <v>3</v>
      </c>
      <c r="G87" s="10"/>
      <c r="H87" s="10"/>
      <c r="I87" s="10"/>
      <c r="J87" s="10"/>
      <c r="K87" s="10"/>
      <c r="L87" s="10"/>
      <c r="M87" s="10"/>
    </row>
    <row r="88" spans="1:13">
      <c r="A88" s="4"/>
      <c r="G88" s="10"/>
      <c r="H88" s="10"/>
      <c r="I88" s="10"/>
      <c r="J88" s="10"/>
      <c r="K88" s="10"/>
      <c r="L88" s="10"/>
      <c r="M88" s="10"/>
    </row>
    <row r="89" spans="1:13">
      <c r="A89" s="4" t="s">
        <v>68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 s="42" customFormat="1" ht="19.5" customHeight="1" thickBot="1">
      <c r="A90" s="7" t="s">
        <v>5</v>
      </c>
      <c r="B90" s="7">
        <v>2012</v>
      </c>
      <c r="C90" s="7">
        <v>2013</v>
      </c>
      <c r="D90" s="7">
        <v>2014</v>
      </c>
      <c r="E90" s="7">
        <v>2015</v>
      </c>
      <c r="F90" s="7">
        <v>2016</v>
      </c>
      <c r="G90" s="7">
        <v>2017</v>
      </c>
      <c r="H90" s="7">
        <v>2018</v>
      </c>
      <c r="I90" s="7">
        <v>2019</v>
      </c>
      <c r="J90" s="7">
        <v>2020</v>
      </c>
      <c r="K90" s="7">
        <v>2021</v>
      </c>
      <c r="L90" s="7">
        <v>2022</v>
      </c>
      <c r="M90" s="7">
        <v>2023</v>
      </c>
    </row>
    <row r="91" spans="1:13">
      <c r="A91" s="8"/>
    </row>
    <row r="92" spans="1:13" s="43" customFormat="1">
      <c r="A92" s="9" t="s">
        <v>6</v>
      </c>
      <c r="B92" s="10">
        <f t="shared" ref="B92:M92" si="49">B93+B126+B128</f>
        <v>143737.92000000001</v>
      </c>
      <c r="C92" s="10">
        <f t="shared" si="49"/>
        <v>145166.55999999997</v>
      </c>
      <c r="D92" s="10">
        <f t="shared" si="49"/>
        <v>149918.76999999999</v>
      </c>
      <c r="E92" s="10">
        <f t="shared" si="49"/>
        <v>168983.12</v>
      </c>
      <c r="F92" s="10">
        <f t="shared" si="49"/>
        <v>185199.13009999998</v>
      </c>
      <c r="G92" s="10">
        <f t="shared" si="49"/>
        <v>207259.13999999998</v>
      </c>
      <c r="H92" s="10">
        <f t="shared" si="49"/>
        <v>227789.75999999998</v>
      </c>
      <c r="I92" s="10">
        <f t="shared" si="49"/>
        <v>252530.14</v>
      </c>
      <c r="J92" s="10">
        <f t="shared" si="49"/>
        <v>234983.63999999998</v>
      </c>
      <c r="K92" s="10">
        <f t="shared" si="49"/>
        <v>272424.59999999998</v>
      </c>
      <c r="L92" s="10">
        <f t="shared" si="49"/>
        <v>437573.77</v>
      </c>
      <c r="M92" s="10">
        <f t="shared" si="49"/>
        <v>601206.25</v>
      </c>
    </row>
    <row r="93" spans="1:13" s="43" customFormat="1">
      <c r="A93" s="11" t="s">
        <v>7</v>
      </c>
      <c r="B93" s="12">
        <f>SUM(B121,B94)</f>
        <v>130228.42000000001</v>
      </c>
      <c r="C93" s="12">
        <f>SUM(C121,C94,C122,C123,C124)</f>
        <v>136494.84999999998</v>
      </c>
      <c r="D93" s="12">
        <f t="shared" ref="D93:M93" si="50">SUM(D121,D94,D122,D123,D124)</f>
        <v>145727.76999999999</v>
      </c>
      <c r="E93" s="12">
        <f t="shared" si="50"/>
        <v>161710.18</v>
      </c>
      <c r="F93" s="12">
        <f t="shared" si="50"/>
        <v>177322.0301</v>
      </c>
      <c r="G93" s="12">
        <f t="shared" si="50"/>
        <v>195060.34</v>
      </c>
      <c r="H93" s="12">
        <f t="shared" si="50"/>
        <v>217016.36</v>
      </c>
      <c r="I93" s="12">
        <f t="shared" si="50"/>
        <v>240585.34</v>
      </c>
      <c r="J93" s="12">
        <f t="shared" si="50"/>
        <v>227401.84</v>
      </c>
      <c r="K93" s="12">
        <f t="shared" si="50"/>
        <v>267032.59999999998</v>
      </c>
      <c r="L93" s="12">
        <f>SUM(L121,L94,L122,L123,L124)</f>
        <v>429459.35</v>
      </c>
      <c r="M93" s="12">
        <f t="shared" si="50"/>
        <v>597905.25</v>
      </c>
    </row>
    <row r="94" spans="1:13" s="43" customFormat="1">
      <c r="A94" s="44" t="s">
        <v>8</v>
      </c>
      <c r="B94" s="12">
        <f t="shared" ref="B94:M94" si="51">SUM(B112,B108,B104,B101,B95)</f>
        <v>118333.92000000001</v>
      </c>
      <c r="C94" s="12">
        <f t="shared" si="51"/>
        <v>126509.75</v>
      </c>
      <c r="D94" s="10">
        <f t="shared" si="51"/>
        <v>135889.57</v>
      </c>
      <c r="E94" s="10">
        <f t="shared" si="51"/>
        <v>142896.28</v>
      </c>
      <c r="F94" s="10">
        <f t="shared" si="51"/>
        <v>151745.5301</v>
      </c>
      <c r="G94" s="12">
        <f t="shared" si="51"/>
        <v>171149.94</v>
      </c>
      <c r="H94" s="12">
        <f t="shared" si="51"/>
        <v>198512.36</v>
      </c>
      <c r="I94" s="12">
        <f t="shared" si="51"/>
        <v>225992.94</v>
      </c>
      <c r="J94" s="10">
        <f t="shared" si="51"/>
        <v>218330.08</v>
      </c>
      <c r="K94" s="10">
        <f t="shared" si="51"/>
        <v>255085.46</v>
      </c>
      <c r="L94" s="10">
        <f t="shared" si="51"/>
        <v>292336.75</v>
      </c>
      <c r="M94" s="10">
        <f t="shared" si="51"/>
        <v>366614.98</v>
      </c>
    </row>
    <row r="95" spans="1:13" s="46" customFormat="1">
      <c r="A95" s="45" t="s">
        <v>9</v>
      </c>
      <c r="B95" s="15">
        <f t="shared" ref="B95:C95" si="52">SUM(B96:B100)</f>
        <v>43949.04</v>
      </c>
      <c r="C95" s="15">
        <f t="shared" si="52"/>
        <v>46128.1</v>
      </c>
      <c r="D95" s="15">
        <f>SUM(D96:D100)+0.03</f>
        <v>51183.09</v>
      </c>
      <c r="E95" s="15">
        <f>SUM(E96:E100)+0.03</f>
        <v>54500.18</v>
      </c>
      <c r="F95" s="15">
        <f>SUM(F96:F100)+0.03</f>
        <v>60624.28</v>
      </c>
      <c r="G95" s="25">
        <f t="shared" ref="G95:M95" si="53">SUM(G96:G100)</f>
        <v>67747.600000000006</v>
      </c>
      <c r="H95" s="25">
        <f t="shared" si="53"/>
        <v>78234.7</v>
      </c>
      <c r="I95" s="25">
        <f t="shared" si="53"/>
        <v>93595.4</v>
      </c>
      <c r="J95" s="15">
        <f t="shared" si="53"/>
        <v>104703</v>
      </c>
      <c r="K95" s="15">
        <f t="shared" si="53"/>
        <v>122858.73999999999</v>
      </c>
      <c r="L95" s="15">
        <f t="shared" si="53"/>
        <v>163483.32</v>
      </c>
      <c r="M95" s="15">
        <f t="shared" si="53"/>
        <v>211826.94</v>
      </c>
    </row>
    <row r="96" spans="1:13" ht="14.25">
      <c r="A96" s="22" t="s">
        <v>10</v>
      </c>
      <c r="B96" s="17">
        <f>27794.3-0.03</f>
        <v>27794.27</v>
      </c>
      <c r="C96" s="17">
        <v>30929</v>
      </c>
      <c r="D96" s="17">
        <f>33283.3+0.03</f>
        <v>33283.33</v>
      </c>
      <c r="E96" s="17">
        <f>34606.4+0.03</f>
        <v>34606.43</v>
      </c>
      <c r="F96" s="17">
        <f>37896.9+0.03</f>
        <v>37896.93</v>
      </c>
      <c r="G96" s="18">
        <v>46078.3</v>
      </c>
      <c r="H96" s="18">
        <v>52427.1</v>
      </c>
      <c r="I96" s="18">
        <v>64384.6</v>
      </c>
      <c r="J96" s="17">
        <v>70015.199999999997</v>
      </c>
      <c r="K96" s="17">
        <v>79951.42</v>
      </c>
      <c r="L96" s="17">
        <v>108602.32</v>
      </c>
      <c r="M96" s="17">
        <v>143994.22</v>
      </c>
    </row>
    <row r="97" spans="1:13">
      <c r="A97" s="22" t="s">
        <v>11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</row>
    <row r="98" spans="1:13">
      <c r="A98" s="22" t="s">
        <v>12</v>
      </c>
      <c r="B98" s="17">
        <f>16154.8-0.03</f>
        <v>16154.769999999999</v>
      </c>
      <c r="C98" s="17">
        <v>15199.1</v>
      </c>
      <c r="D98" s="17">
        <f>17899.7+0.03</f>
        <v>17899.73</v>
      </c>
      <c r="E98" s="17">
        <f>19893.7+0.02</f>
        <v>19893.72</v>
      </c>
      <c r="F98" s="17">
        <f>22727.3+0.02</f>
        <v>22727.32</v>
      </c>
      <c r="G98" s="18">
        <v>21669.3</v>
      </c>
      <c r="H98" s="18">
        <v>25807.599999999999</v>
      </c>
      <c r="I98" s="18">
        <v>29210.799999999999</v>
      </c>
      <c r="J98" s="17">
        <v>34687.800000000003</v>
      </c>
      <c r="K98" s="17">
        <v>42907.32</v>
      </c>
      <c r="L98" s="17">
        <v>54881</v>
      </c>
      <c r="M98" s="17">
        <v>67832.72</v>
      </c>
    </row>
    <row r="99" spans="1:13">
      <c r="A99" s="22" t="s">
        <v>13</v>
      </c>
      <c r="B99" s="20">
        <v>0</v>
      </c>
      <c r="C99" s="20">
        <v>0</v>
      </c>
      <c r="D99" s="20">
        <v>0</v>
      </c>
      <c r="E99" s="20">
        <v>0</v>
      </c>
      <c r="F99" s="20">
        <v>0</v>
      </c>
      <c r="G99" s="21">
        <v>0</v>
      </c>
      <c r="H99" s="21">
        <v>0</v>
      </c>
      <c r="I99" s="21">
        <v>0</v>
      </c>
      <c r="J99" s="20">
        <v>0</v>
      </c>
      <c r="K99" s="20"/>
      <c r="L99" s="20"/>
      <c r="M99" s="20"/>
    </row>
    <row r="100" spans="1:13">
      <c r="A100" s="22" t="s">
        <v>14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8">
        <v>0</v>
      </c>
      <c r="H100" s="18">
        <v>0</v>
      </c>
      <c r="I100" s="18">
        <v>0</v>
      </c>
      <c r="J100" s="17">
        <v>0</v>
      </c>
      <c r="K100" s="17"/>
      <c r="L100" s="17"/>
      <c r="M100" s="17"/>
    </row>
    <row r="101" spans="1:13" s="46" customFormat="1">
      <c r="A101" s="45" t="s">
        <v>15</v>
      </c>
      <c r="B101" s="15">
        <f t="shared" ref="B101:M101" si="54">B102+B103</f>
        <v>1903.5</v>
      </c>
      <c r="C101" s="15">
        <f t="shared" si="54"/>
        <v>2608.4</v>
      </c>
      <c r="D101" s="15">
        <f t="shared" si="54"/>
        <v>2422.6</v>
      </c>
      <c r="E101" s="15">
        <f t="shared" si="54"/>
        <v>3237.4</v>
      </c>
      <c r="F101" s="15">
        <f t="shared" si="54"/>
        <v>3208.9</v>
      </c>
      <c r="G101" s="25">
        <f t="shared" si="54"/>
        <v>3617.8</v>
      </c>
      <c r="H101" s="25">
        <f t="shared" si="54"/>
        <v>4421</v>
      </c>
      <c r="I101" s="25">
        <f t="shared" si="54"/>
        <v>4352.84</v>
      </c>
      <c r="J101" s="25">
        <f t="shared" si="54"/>
        <v>3891.06</v>
      </c>
      <c r="K101" s="25">
        <f t="shared" si="54"/>
        <v>4973.92</v>
      </c>
      <c r="L101" s="25">
        <f t="shared" si="54"/>
        <v>5944.3200000000006</v>
      </c>
      <c r="M101" s="25">
        <f t="shared" si="54"/>
        <v>7163.42</v>
      </c>
    </row>
    <row r="102" spans="1:13">
      <c r="A102" s="47" t="s">
        <v>16</v>
      </c>
      <c r="B102" s="24">
        <v>1866.2</v>
      </c>
      <c r="C102" s="24">
        <v>2571.8000000000002</v>
      </c>
      <c r="D102" s="24">
        <v>2380.5</v>
      </c>
      <c r="E102" s="24">
        <v>3200.9</v>
      </c>
      <c r="F102" s="24">
        <v>3172.4</v>
      </c>
      <c r="G102" s="23">
        <v>3578.8</v>
      </c>
      <c r="H102" s="23">
        <v>4377.1000000000004</v>
      </c>
      <c r="I102" s="24">
        <f>4311.7-0.04</f>
        <v>4311.66</v>
      </c>
      <c r="J102" s="23">
        <f>3847.2+0.04</f>
        <v>3847.24</v>
      </c>
      <c r="K102" s="23">
        <v>4906.71</v>
      </c>
      <c r="L102" s="23">
        <v>5853.31</v>
      </c>
      <c r="M102" s="23">
        <v>7064.71</v>
      </c>
    </row>
    <row r="103" spans="1:13">
      <c r="A103" s="47" t="s">
        <v>17</v>
      </c>
      <c r="B103" s="24">
        <v>37.299999999999997</v>
      </c>
      <c r="C103" s="24">
        <v>36.6</v>
      </c>
      <c r="D103" s="24">
        <v>42.1</v>
      </c>
      <c r="E103" s="24">
        <v>36.5</v>
      </c>
      <c r="F103" s="24">
        <v>36.5</v>
      </c>
      <c r="G103" s="23">
        <v>39</v>
      </c>
      <c r="H103" s="23">
        <v>43.9</v>
      </c>
      <c r="I103" s="24">
        <f>41.2-0.02</f>
        <v>41.18</v>
      </c>
      <c r="J103" s="23">
        <f>43.8+0.02</f>
        <v>43.82</v>
      </c>
      <c r="K103" s="23">
        <v>67.209999999999994</v>
      </c>
      <c r="L103" s="23">
        <v>91.01</v>
      </c>
      <c r="M103" s="23">
        <v>98.71</v>
      </c>
    </row>
    <row r="104" spans="1:13" s="46" customFormat="1">
      <c r="A104" s="45" t="s">
        <v>18</v>
      </c>
      <c r="B104" s="25">
        <f t="shared" ref="B104:J104" si="55">SUM(B105:B107)</f>
        <v>56849.440000000002</v>
      </c>
      <c r="C104" s="25">
        <f t="shared" si="55"/>
        <v>61659.35</v>
      </c>
      <c r="D104" s="15">
        <f t="shared" si="55"/>
        <v>65709.459999999992</v>
      </c>
      <c r="E104" s="15">
        <f t="shared" si="55"/>
        <v>68806.899999999994</v>
      </c>
      <c r="F104" s="15">
        <f t="shared" si="55"/>
        <v>68707</v>
      </c>
      <c r="G104" s="25">
        <f t="shared" si="55"/>
        <v>76319.240000000005</v>
      </c>
      <c r="H104" s="25">
        <f t="shared" si="55"/>
        <v>87861.86</v>
      </c>
      <c r="I104" s="15">
        <f t="shared" si="55"/>
        <v>96551.4</v>
      </c>
      <c r="J104" s="25">
        <f t="shared" si="55"/>
        <v>83829.899999999994</v>
      </c>
      <c r="K104" s="25">
        <f>SUM(K105:K107)</f>
        <v>94778.3</v>
      </c>
      <c r="L104" s="25">
        <f>SUM(L105:L107)</f>
        <v>85222.21</v>
      </c>
      <c r="M104" s="25">
        <f>SUM(M105:M107)</f>
        <v>103787.03</v>
      </c>
    </row>
    <row r="105" spans="1:13">
      <c r="A105" s="47" t="s">
        <v>19</v>
      </c>
      <c r="B105" s="24">
        <v>0</v>
      </c>
      <c r="C105" s="24">
        <v>0</v>
      </c>
      <c r="D105" s="24">
        <v>0</v>
      </c>
      <c r="E105" s="24">
        <v>0</v>
      </c>
      <c r="F105" s="24">
        <v>1200</v>
      </c>
      <c r="G105" s="23">
        <v>304.8</v>
      </c>
      <c r="H105" s="23">
        <v>0</v>
      </c>
      <c r="I105" s="24">
        <v>0</v>
      </c>
      <c r="J105" s="23">
        <v>0</v>
      </c>
      <c r="K105" s="23"/>
      <c r="L105" s="23"/>
      <c r="M105" s="23"/>
    </row>
    <row r="106" spans="1:13" ht="14.25">
      <c r="A106" s="47" t="s">
        <v>20</v>
      </c>
      <c r="B106" s="24">
        <f>34105.6-0.03</f>
        <v>34105.57</v>
      </c>
      <c r="C106" s="24">
        <f>34388+0.03</f>
        <v>34388.03</v>
      </c>
      <c r="D106" s="24">
        <f>37475.4+0.03</f>
        <v>37475.43</v>
      </c>
      <c r="E106" s="24">
        <v>35476.400000000001</v>
      </c>
      <c r="F106" s="24">
        <v>36424</v>
      </c>
      <c r="G106" s="23">
        <f>42555.9-0.04</f>
        <v>42555.86</v>
      </c>
      <c r="H106" s="23">
        <f>48181.4+0.04</f>
        <v>48181.440000000002</v>
      </c>
      <c r="I106" s="24">
        <v>52748.6</v>
      </c>
      <c r="J106" s="23">
        <v>49907.9</v>
      </c>
      <c r="K106" s="23">
        <v>48377.5</v>
      </c>
      <c r="L106" s="23">
        <v>56829.91</v>
      </c>
      <c r="M106" s="48">
        <v>72042.52</v>
      </c>
    </row>
    <row r="107" spans="1:13">
      <c r="A107" s="47" t="s">
        <v>21</v>
      </c>
      <c r="B107" s="24">
        <f>22743.9-0.03</f>
        <v>22743.870000000003</v>
      </c>
      <c r="C107" s="24">
        <f>27271.3+0.02</f>
        <v>27271.32</v>
      </c>
      <c r="D107" s="24">
        <f>28234+0.03</f>
        <v>28234.03</v>
      </c>
      <c r="E107" s="24">
        <v>33330.5</v>
      </c>
      <c r="F107" s="24">
        <v>31083</v>
      </c>
      <c r="G107" s="23">
        <f>33458.6-0.02</f>
        <v>33458.58</v>
      </c>
      <c r="H107" s="23">
        <f>39680.4+0.02</f>
        <v>39680.42</v>
      </c>
      <c r="I107" s="24">
        <v>43802.8</v>
      </c>
      <c r="J107" s="23">
        <v>33922</v>
      </c>
      <c r="K107" s="23">
        <v>46400.800000000003</v>
      </c>
      <c r="L107" s="23">
        <v>28392.3</v>
      </c>
      <c r="M107" s="23">
        <v>31744.51</v>
      </c>
    </row>
    <row r="108" spans="1:13" s="46" customFormat="1">
      <c r="A108" s="45" t="s">
        <v>22</v>
      </c>
      <c r="B108" s="27">
        <f t="shared" ref="B108:D108" si="56">SUM(B109:B111)</f>
        <v>12900.64</v>
      </c>
      <c r="C108" s="26">
        <f t="shared" si="56"/>
        <v>13411.800000000001</v>
      </c>
      <c r="D108" s="26">
        <f t="shared" si="56"/>
        <v>13856.36</v>
      </c>
      <c r="E108" s="26">
        <f t="shared" ref="E108:M108" si="57">SUM(E109:E111)</f>
        <v>14026.6</v>
      </c>
      <c r="F108" s="26">
        <f t="shared" si="57"/>
        <v>16947.900000000001</v>
      </c>
      <c r="G108" s="27">
        <f t="shared" si="57"/>
        <v>18496.7</v>
      </c>
      <c r="H108" s="27">
        <f t="shared" si="57"/>
        <v>21955.999999999996</v>
      </c>
      <c r="I108" s="26">
        <f t="shared" si="57"/>
        <v>24991.5</v>
      </c>
      <c r="J108" s="27">
        <f t="shared" si="57"/>
        <v>19641.019999999997</v>
      </c>
      <c r="K108" s="27">
        <f t="shared" si="57"/>
        <v>25611.399999999998</v>
      </c>
      <c r="L108" s="27">
        <f t="shared" si="57"/>
        <v>30273.7</v>
      </c>
      <c r="M108" s="27">
        <f t="shared" si="57"/>
        <v>34754.839999999997</v>
      </c>
    </row>
    <row r="109" spans="1:13">
      <c r="A109" s="47" t="s">
        <v>23</v>
      </c>
      <c r="B109" s="24">
        <f>11560.8-0.03</f>
        <v>11560.769999999999</v>
      </c>
      <c r="C109" s="24">
        <v>11865.7</v>
      </c>
      <c r="D109" s="24">
        <f>12166.5+0.03</f>
        <v>12166.53</v>
      </c>
      <c r="E109" s="24">
        <v>12357.1</v>
      </c>
      <c r="F109" s="24">
        <v>14887.1</v>
      </c>
      <c r="G109" s="24">
        <v>16272.9</v>
      </c>
      <c r="H109" s="23">
        <v>19320.599999999999</v>
      </c>
      <c r="I109" s="24">
        <v>22135.5</v>
      </c>
      <c r="J109" s="24">
        <f>18623.8-0.04</f>
        <v>18623.759999999998</v>
      </c>
      <c r="K109" s="24">
        <v>23737.1</v>
      </c>
      <c r="L109" s="24">
        <v>27125.200000000001</v>
      </c>
      <c r="M109" s="24">
        <v>30409.91</v>
      </c>
    </row>
    <row r="110" spans="1:13">
      <c r="A110" s="47" t="s">
        <v>24</v>
      </c>
      <c r="B110" s="24">
        <v>9.1</v>
      </c>
      <c r="C110" s="24">
        <v>14.1</v>
      </c>
      <c r="D110" s="24">
        <v>13.8</v>
      </c>
      <c r="E110" s="24">
        <v>11.6</v>
      </c>
      <c r="F110" s="24">
        <v>12.8</v>
      </c>
      <c r="G110" s="24">
        <v>22.6</v>
      </c>
      <c r="H110" s="24">
        <v>32.799999999999997</v>
      </c>
      <c r="I110" s="24">
        <v>29.1</v>
      </c>
      <c r="J110" s="24">
        <v>27.5</v>
      </c>
      <c r="K110" s="24">
        <v>29.3</v>
      </c>
      <c r="L110" s="24">
        <v>84.4</v>
      </c>
      <c r="M110" s="24">
        <v>134.21</v>
      </c>
    </row>
    <row r="111" spans="1:13">
      <c r="A111" s="47" t="s">
        <v>25</v>
      </c>
      <c r="B111" s="23">
        <f>1330.8-0.03</f>
        <v>1330.77</v>
      </c>
      <c r="C111" s="23">
        <v>1532</v>
      </c>
      <c r="D111" s="23">
        <f>1676+0.03</f>
        <v>1676.03</v>
      </c>
      <c r="E111" s="23">
        <v>1657.9</v>
      </c>
      <c r="F111" s="23">
        <v>2048</v>
      </c>
      <c r="G111" s="23">
        <v>2201.1999999999998</v>
      </c>
      <c r="H111" s="23">
        <v>2602.6</v>
      </c>
      <c r="I111" s="23">
        <v>2826.9</v>
      </c>
      <c r="J111" s="23">
        <f>989.8-0.04</f>
        <v>989.76</v>
      </c>
      <c r="K111" s="23">
        <v>1845</v>
      </c>
      <c r="L111" s="23">
        <v>3064.1</v>
      </c>
      <c r="M111" s="23">
        <v>4210.72</v>
      </c>
    </row>
    <row r="112" spans="1:13" s="46" customFormat="1">
      <c r="A112" s="45" t="s">
        <v>26</v>
      </c>
      <c r="B112" s="25">
        <f t="shared" ref="B112:H112" si="58">SUM(B113:B120)</f>
        <v>2731.2999999999997</v>
      </c>
      <c r="C112" s="25">
        <f t="shared" si="58"/>
        <v>2702.1</v>
      </c>
      <c r="D112" s="25">
        <f t="shared" si="58"/>
        <v>2718.06</v>
      </c>
      <c r="E112" s="25">
        <f t="shared" si="58"/>
        <v>2325.1999999999998</v>
      </c>
      <c r="F112" s="25">
        <f t="shared" si="58"/>
        <v>2257.4501</v>
      </c>
      <c r="G112" s="25">
        <f t="shared" si="58"/>
        <v>4968.6000000000004</v>
      </c>
      <c r="H112" s="25">
        <f t="shared" si="58"/>
        <v>6038.8</v>
      </c>
      <c r="I112" s="25">
        <f>SUM(I113:I120)</f>
        <v>6501.7999999999993</v>
      </c>
      <c r="J112" s="25">
        <f>SUM(J113:J120)</f>
        <v>6265.1</v>
      </c>
      <c r="K112" s="25">
        <f>SUM(K113:K120)</f>
        <v>6863.0999999999995</v>
      </c>
      <c r="L112" s="25">
        <f>SUM(L113:L120)</f>
        <v>7413.2</v>
      </c>
      <c r="M112" s="25">
        <f>SUM(M113:M120)</f>
        <v>9082.75</v>
      </c>
    </row>
    <row r="113" spans="1:16">
      <c r="A113" s="47" t="s">
        <v>27</v>
      </c>
      <c r="B113" s="28">
        <v>0</v>
      </c>
      <c r="C113" s="28">
        <v>0</v>
      </c>
      <c r="D113" s="28">
        <v>0</v>
      </c>
      <c r="E113" s="28">
        <v>0</v>
      </c>
      <c r="F113" s="28">
        <v>0</v>
      </c>
      <c r="G113" s="28">
        <v>0</v>
      </c>
      <c r="H113" s="28">
        <v>0</v>
      </c>
      <c r="I113" s="28">
        <v>0</v>
      </c>
      <c r="J113" s="28">
        <v>0</v>
      </c>
      <c r="K113" s="28"/>
      <c r="L113" s="28"/>
      <c r="M113" s="28"/>
    </row>
    <row r="114" spans="1:16">
      <c r="A114" s="47" t="s">
        <v>28</v>
      </c>
      <c r="B114" s="28">
        <v>0</v>
      </c>
      <c r="C114" s="28">
        <v>0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  <c r="I114" s="28">
        <v>0</v>
      </c>
      <c r="J114" s="28">
        <v>0</v>
      </c>
      <c r="K114" s="28"/>
      <c r="L114" s="28"/>
      <c r="M114" s="28"/>
    </row>
    <row r="115" spans="1:16" ht="14.25">
      <c r="A115" s="47" t="s">
        <v>29</v>
      </c>
      <c r="B115" s="28">
        <v>0</v>
      </c>
      <c r="C115" s="28">
        <v>0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/>
      <c r="L115" s="28"/>
      <c r="M115" s="28"/>
    </row>
    <row r="116" spans="1:16">
      <c r="A116" s="47" t="s">
        <v>30</v>
      </c>
      <c r="B116" s="28">
        <v>513</v>
      </c>
      <c r="C116" s="28">
        <v>587</v>
      </c>
      <c r="D116" s="28">
        <f>637.4+0.03</f>
        <v>637.42999999999995</v>
      </c>
      <c r="E116" s="28">
        <v>653.4</v>
      </c>
      <c r="F116" s="28">
        <f>867.5+0.03</f>
        <v>867.53</v>
      </c>
      <c r="G116" s="28">
        <v>1038.5999999999999</v>
      </c>
      <c r="H116" s="28">
        <v>1094.5999999999999</v>
      </c>
      <c r="I116" s="28">
        <v>1150.4000000000001</v>
      </c>
      <c r="J116" s="28">
        <v>1134.5999999999999</v>
      </c>
      <c r="K116" s="28">
        <v>1112.5</v>
      </c>
      <c r="L116" s="28">
        <v>1165</v>
      </c>
      <c r="M116" s="28">
        <v>1368.12</v>
      </c>
    </row>
    <row r="117" spans="1:16">
      <c r="A117" s="47" t="s">
        <v>31</v>
      </c>
      <c r="B117" s="28">
        <v>517</v>
      </c>
      <c r="C117" s="28">
        <v>553.29999999999995</v>
      </c>
      <c r="D117" s="28">
        <v>596.70000000000005</v>
      </c>
      <c r="E117" s="28">
        <v>598.20000000000005</v>
      </c>
      <c r="F117" s="28">
        <f>822.9+0.02</f>
        <v>822.92</v>
      </c>
      <c r="G117" s="28">
        <v>1508</v>
      </c>
      <c r="H117" s="28">
        <v>1628.3</v>
      </c>
      <c r="I117" s="28">
        <v>1796.6</v>
      </c>
      <c r="J117" s="28">
        <v>1709.3</v>
      </c>
      <c r="K117" s="28">
        <v>1911.2</v>
      </c>
      <c r="L117" s="28">
        <v>1885.5</v>
      </c>
      <c r="M117" s="28">
        <v>2464.0100000000002</v>
      </c>
    </row>
    <row r="118" spans="1:16" ht="14.25">
      <c r="A118" s="47" t="s">
        <v>32</v>
      </c>
      <c r="B118" s="28">
        <v>1070.9000000000001</v>
      </c>
      <c r="C118" s="28">
        <v>1071.5999999999999</v>
      </c>
      <c r="D118" s="28">
        <f>1033.3+0.03</f>
        <v>1033.33</v>
      </c>
      <c r="E118" s="28">
        <v>496.1</v>
      </c>
      <c r="F118" s="28">
        <v>1E-4</v>
      </c>
      <c r="G118" s="28">
        <v>1703.4</v>
      </c>
      <c r="H118" s="28">
        <v>1978.6</v>
      </c>
      <c r="I118" s="28">
        <v>2179</v>
      </c>
      <c r="J118" s="28">
        <v>2019.3</v>
      </c>
      <c r="K118" s="28">
        <v>2392</v>
      </c>
      <c r="L118" s="28">
        <v>2746.6</v>
      </c>
      <c r="M118" s="28">
        <v>2941.12</v>
      </c>
    </row>
    <row r="119" spans="1:16">
      <c r="A119" s="47" t="s">
        <v>33</v>
      </c>
      <c r="B119" s="28">
        <v>408.2</v>
      </c>
      <c r="C119" s="28">
        <v>265.8</v>
      </c>
      <c r="D119" s="28">
        <v>209.6</v>
      </c>
      <c r="E119" s="28">
        <v>286.10000000000002</v>
      </c>
      <c r="F119" s="28">
        <v>285</v>
      </c>
      <c r="G119" s="28">
        <v>132.30000000000001</v>
      </c>
      <c r="H119" s="28">
        <v>478.1</v>
      </c>
      <c r="I119" s="28">
        <v>608.9</v>
      </c>
      <c r="J119" s="28">
        <v>732.8</v>
      </c>
      <c r="K119" s="28">
        <v>551.9</v>
      </c>
      <c r="L119" s="28">
        <v>671.7</v>
      </c>
      <c r="M119" s="28">
        <v>1164.2</v>
      </c>
    </row>
    <row r="120" spans="1:16">
      <c r="A120" s="47" t="s">
        <v>34</v>
      </c>
      <c r="B120" s="24">
        <v>222.2</v>
      </c>
      <c r="C120" s="24">
        <v>224.4</v>
      </c>
      <c r="D120" s="24">
        <v>241</v>
      </c>
      <c r="E120" s="24">
        <v>291.39999999999998</v>
      </c>
      <c r="F120" s="24">
        <v>282</v>
      </c>
      <c r="G120" s="24">
        <v>586.29999999999995</v>
      </c>
      <c r="H120" s="24">
        <v>859.2</v>
      </c>
      <c r="I120" s="24">
        <v>766.9</v>
      </c>
      <c r="J120" s="24">
        <v>669.1</v>
      </c>
      <c r="K120" s="24">
        <v>895.5</v>
      </c>
      <c r="L120" s="24">
        <v>944.4</v>
      </c>
      <c r="M120" s="24">
        <v>1145.3</v>
      </c>
    </row>
    <row r="121" spans="1:16" s="46" customFormat="1" ht="14.25">
      <c r="A121" s="44" t="s">
        <v>35</v>
      </c>
      <c r="B121" s="26">
        <f>11055.6+838.9</f>
        <v>11894.5</v>
      </c>
      <c r="C121" s="26">
        <v>9151.7999999999993</v>
      </c>
      <c r="D121" s="26">
        <v>8823.7999999999993</v>
      </c>
      <c r="E121" s="26">
        <v>18813.900000000001</v>
      </c>
      <c r="F121" s="26">
        <v>25576.5</v>
      </c>
      <c r="G121" s="26">
        <v>23910.400000000001</v>
      </c>
      <c r="H121" s="26">
        <v>18504</v>
      </c>
      <c r="I121" s="26">
        <v>14592.4</v>
      </c>
      <c r="J121" s="26">
        <f>9071.8-0.04</f>
        <v>9071.7599999999984</v>
      </c>
      <c r="K121" s="26">
        <v>11541.42</v>
      </c>
      <c r="L121" s="26">
        <v>9774.5</v>
      </c>
      <c r="M121" s="26">
        <v>15492.53</v>
      </c>
    </row>
    <row r="122" spans="1:16" s="46" customFormat="1" ht="14.25">
      <c r="A122" s="29" t="s">
        <v>36</v>
      </c>
      <c r="B122" s="26"/>
      <c r="C122" s="26">
        <v>833.3</v>
      </c>
      <c r="D122" s="26">
        <v>1014.4</v>
      </c>
      <c r="E122" s="26">
        <v>0</v>
      </c>
      <c r="F122" s="26">
        <v>0</v>
      </c>
      <c r="G122" s="26">
        <v>0</v>
      </c>
      <c r="H122" s="26">
        <v>0</v>
      </c>
      <c r="I122" s="26">
        <v>0</v>
      </c>
      <c r="J122" s="26">
        <v>0</v>
      </c>
      <c r="K122" s="26">
        <v>405.72</v>
      </c>
      <c r="L122" s="26">
        <v>866.3</v>
      </c>
      <c r="M122" s="26">
        <v>1590.41</v>
      </c>
    </row>
    <row r="123" spans="1:16" s="46" customFormat="1" ht="14.25">
      <c r="A123" s="29" t="s">
        <v>37</v>
      </c>
      <c r="B123" s="26"/>
      <c r="C123" s="26">
        <v>0</v>
      </c>
      <c r="D123" s="26">
        <v>0</v>
      </c>
      <c r="E123" s="26">
        <v>0</v>
      </c>
      <c r="F123" s="26">
        <v>0</v>
      </c>
      <c r="G123" s="26">
        <v>0</v>
      </c>
      <c r="H123" s="26">
        <v>0</v>
      </c>
      <c r="I123" s="26">
        <v>0</v>
      </c>
      <c r="J123" s="26">
        <v>0</v>
      </c>
      <c r="K123" s="26">
        <v>0</v>
      </c>
      <c r="L123" s="26">
        <v>126481.8</v>
      </c>
      <c r="M123" s="26">
        <v>208421.81</v>
      </c>
    </row>
    <row r="124" spans="1:16" s="46" customFormat="1" ht="14.25">
      <c r="A124" s="29" t="s">
        <v>38</v>
      </c>
      <c r="B124" s="26"/>
      <c r="C124" s="26">
        <v>0</v>
      </c>
      <c r="D124" s="26">
        <v>0</v>
      </c>
      <c r="E124" s="26">
        <v>0</v>
      </c>
      <c r="F124" s="26">
        <v>0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5785.52</v>
      </c>
    </row>
    <row r="125" spans="1:16">
      <c r="A125" s="30"/>
      <c r="B125" s="26"/>
      <c r="C125" s="26"/>
      <c r="D125" s="26"/>
      <c r="E125" s="24"/>
      <c r="F125" s="24"/>
      <c r="G125" s="24"/>
      <c r="H125" s="24"/>
      <c r="I125" s="24"/>
      <c r="J125" s="24"/>
      <c r="K125" s="24"/>
      <c r="L125" s="24"/>
      <c r="M125" s="24"/>
      <c r="P125" s="49"/>
    </row>
    <row r="126" spans="1:16" s="43" customFormat="1">
      <c r="A126" s="11" t="s">
        <v>39</v>
      </c>
      <c r="B126" s="31">
        <v>832.7</v>
      </c>
      <c r="C126" s="31">
        <v>872.8</v>
      </c>
      <c r="D126" s="31">
        <v>3100.8</v>
      </c>
      <c r="E126" s="31">
        <v>2686.1</v>
      </c>
      <c r="F126" s="31">
        <v>2469.3000000000002</v>
      </c>
      <c r="G126" s="31">
        <v>17</v>
      </c>
      <c r="H126" s="31">
        <v>3.8</v>
      </c>
      <c r="I126" s="31">
        <v>9.6</v>
      </c>
      <c r="J126" s="31">
        <v>2</v>
      </c>
      <c r="K126" s="31">
        <v>7.7</v>
      </c>
      <c r="L126" s="31">
        <v>19.399999999999999</v>
      </c>
      <c r="M126" s="31">
        <v>26.6</v>
      </c>
    </row>
    <row r="127" spans="1:16" s="43" customFormat="1">
      <c r="A127" s="1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</row>
    <row r="128" spans="1:16" s="43" customFormat="1">
      <c r="A128" s="11" t="s">
        <v>40</v>
      </c>
      <c r="B128" s="31">
        <v>12676.8</v>
      </c>
      <c r="C128" s="31">
        <f>7798.9+0.01</f>
        <v>7798.91</v>
      </c>
      <c r="D128" s="31">
        <v>1090.2</v>
      </c>
      <c r="E128" s="31">
        <f>4586.8+0.04</f>
        <v>4586.84</v>
      </c>
      <c r="F128" s="31">
        <v>5407.8</v>
      </c>
      <c r="G128" s="31">
        <v>12181.8</v>
      </c>
      <c r="H128" s="31">
        <v>10769.6</v>
      </c>
      <c r="I128" s="31">
        <v>11935.2</v>
      </c>
      <c r="J128" s="31">
        <v>7579.8</v>
      </c>
      <c r="K128" s="31">
        <v>5384.3</v>
      </c>
      <c r="L128" s="31">
        <v>8095.02</v>
      </c>
      <c r="M128" s="31">
        <v>3274.4</v>
      </c>
    </row>
    <row r="129" spans="1:13">
      <c r="A129" s="30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</row>
    <row r="130" spans="1:13">
      <c r="A130" s="9" t="s">
        <v>41</v>
      </c>
      <c r="B130" s="10">
        <f t="shared" ref="B130:M130" si="59">B131+B138</f>
        <v>171356.40000000002</v>
      </c>
      <c r="C130" s="10">
        <f t="shared" si="59"/>
        <v>172198.3</v>
      </c>
      <c r="D130" s="10">
        <f t="shared" si="59"/>
        <v>184847.25</v>
      </c>
      <c r="E130" s="10">
        <f t="shared" si="59"/>
        <v>178302.55</v>
      </c>
      <c r="F130" s="10">
        <f t="shared" si="59"/>
        <v>216769.9</v>
      </c>
      <c r="G130" s="10">
        <f t="shared" si="59"/>
        <v>240018.34000000003</v>
      </c>
      <c r="H130" s="10">
        <f t="shared" si="59"/>
        <v>254631.65</v>
      </c>
      <c r="I130" s="10">
        <f t="shared" si="59"/>
        <v>282456.19999999995</v>
      </c>
      <c r="J130" s="10">
        <f t="shared" si="59"/>
        <v>325471.40000000002</v>
      </c>
      <c r="K130" s="10">
        <f t="shared" si="59"/>
        <v>387273.52999999997</v>
      </c>
      <c r="L130" s="10">
        <f t="shared" si="59"/>
        <v>593096.79</v>
      </c>
      <c r="M130" s="10">
        <f t="shared" si="59"/>
        <v>804148.8</v>
      </c>
    </row>
    <row r="131" spans="1:13" s="43" customFormat="1">
      <c r="A131" s="11" t="s">
        <v>42</v>
      </c>
      <c r="B131" s="12">
        <f t="shared" ref="B131:M131" si="60">SUM(B132:B136)</f>
        <v>114914.6</v>
      </c>
      <c r="C131" s="12">
        <f t="shared" si="60"/>
        <v>122053.8</v>
      </c>
      <c r="D131" s="12">
        <f t="shared" si="60"/>
        <v>133833.54999999999</v>
      </c>
      <c r="E131" s="12">
        <f t="shared" si="60"/>
        <v>147637.65</v>
      </c>
      <c r="F131" s="10">
        <f t="shared" si="60"/>
        <v>170151.81</v>
      </c>
      <c r="G131" s="10">
        <f t="shared" si="60"/>
        <v>181400.04</v>
      </c>
      <c r="H131" s="10">
        <f t="shared" si="60"/>
        <v>199612.25</v>
      </c>
      <c r="I131" s="10">
        <f t="shared" si="60"/>
        <v>216193.8</v>
      </c>
      <c r="J131" s="10">
        <f t="shared" si="60"/>
        <v>249356.7</v>
      </c>
      <c r="K131" s="10">
        <f t="shared" si="60"/>
        <v>282887.34999999998</v>
      </c>
      <c r="L131" s="10">
        <f t="shared" si="60"/>
        <v>335010.03999999998</v>
      </c>
      <c r="M131" s="10">
        <f t="shared" si="60"/>
        <v>382329.39999999997</v>
      </c>
    </row>
    <row r="132" spans="1:13">
      <c r="A132" s="33" t="s">
        <v>43</v>
      </c>
      <c r="B132" s="24">
        <v>34793.9</v>
      </c>
      <c r="C132" s="24">
        <v>38489</v>
      </c>
      <c r="D132" s="24">
        <f>42305.6+0.02</f>
        <v>42305.619999999995</v>
      </c>
      <c r="E132" s="24">
        <f>44661.7+0.02</f>
        <v>44661.719999999994</v>
      </c>
      <c r="F132" s="24">
        <f>49360.5+0.01</f>
        <v>49360.51</v>
      </c>
      <c r="G132" s="24">
        <f>54444.2-0.02</f>
        <v>54444.18</v>
      </c>
      <c r="H132" s="24">
        <f>59452+0.01</f>
        <v>59452.01</v>
      </c>
      <c r="I132" s="24">
        <v>68550.899999999994</v>
      </c>
      <c r="J132" s="24">
        <v>71852.2</v>
      </c>
      <c r="K132" s="24">
        <v>77811.87</v>
      </c>
      <c r="L132" s="24">
        <v>87760.41</v>
      </c>
      <c r="M132" s="24">
        <v>104938.3</v>
      </c>
    </row>
    <row r="133" spans="1:13">
      <c r="A133" s="33" t="s">
        <v>44</v>
      </c>
      <c r="B133" s="20">
        <v>34175.599999999999</v>
      </c>
      <c r="C133" s="20">
        <v>37527.9</v>
      </c>
      <c r="D133" s="20">
        <v>40106.199999999997</v>
      </c>
      <c r="E133" s="20">
        <v>43175.9</v>
      </c>
      <c r="F133" s="20">
        <v>46800.6</v>
      </c>
      <c r="G133" s="20">
        <v>49236</v>
      </c>
      <c r="H133" s="20">
        <v>51249.9</v>
      </c>
      <c r="I133" s="20">
        <v>57908</v>
      </c>
      <c r="J133" s="20">
        <v>72477.3</v>
      </c>
      <c r="K133" s="20">
        <v>90272.48</v>
      </c>
      <c r="L133" s="20">
        <v>108602.62</v>
      </c>
      <c r="M133" s="20">
        <v>112794.8</v>
      </c>
    </row>
    <row r="134" spans="1:13">
      <c r="A134" s="33" t="s">
        <v>46</v>
      </c>
      <c r="B134" s="20">
        <v>39409.599999999999</v>
      </c>
      <c r="C134" s="20">
        <v>39930.6</v>
      </c>
      <c r="D134" s="20">
        <f>45082.2+0.03</f>
        <v>45082.229999999996</v>
      </c>
      <c r="E134" s="20">
        <f>53314.5+0.03</f>
        <v>53314.53</v>
      </c>
      <c r="F134" s="20">
        <v>67263.899999999994</v>
      </c>
      <c r="G134" s="20">
        <f>69693.2-0.04</f>
        <v>69693.16</v>
      </c>
      <c r="H134" s="20">
        <f>80399.6+0.04</f>
        <v>80399.64</v>
      </c>
      <c r="I134" s="20">
        <v>81224.2</v>
      </c>
      <c r="J134" s="20">
        <v>97265.600000000006</v>
      </c>
      <c r="K134" s="20">
        <v>106887.3</v>
      </c>
      <c r="L134" s="20">
        <v>129688.71</v>
      </c>
      <c r="M134" s="20">
        <v>152256.5</v>
      </c>
    </row>
    <row r="135" spans="1:13" ht="14.25">
      <c r="A135" s="33" t="s">
        <v>47</v>
      </c>
      <c r="B135" s="20">
        <v>6535.5</v>
      </c>
      <c r="C135" s="20">
        <v>6106.3</v>
      </c>
      <c r="D135" s="20">
        <v>6339.5</v>
      </c>
      <c r="E135" s="20">
        <v>6485.5</v>
      </c>
      <c r="F135" s="20">
        <v>6726.8</v>
      </c>
      <c r="G135" s="20">
        <v>8026.7</v>
      </c>
      <c r="H135" s="20">
        <v>8510.7000000000007</v>
      </c>
      <c r="I135" s="20">
        <v>8510.7000000000007</v>
      </c>
      <c r="J135" s="20">
        <v>7761.6</v>
      </c>
      <c r="K135" s="20">
        <v>7915.7</v>
      </c>
      <c r="L135" s="20">
        <v>8958.2999999999993</v>
      </c>
      <c r="M135" s="20">
        <v>12339.8</v>
      </c>
    </row>
    <row r="136" spans="1:13">
      <c r="A136" s="33" t="s">
        <v>48</v>
      </c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</row>
    <row r="137" spans="1:13">
      <c r="A137" s="30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</row>
    <row r="138" spans="1:13" s="43" customFormat="1">
      <c r="A138" s="11" t="s">
        <v>49</v>
      </c>
      <c r="B138" s="32">
        <v>56441.8</v>
      </c>
      <c r="C138" s="31">
        <v>50144.5</v>
      </c>
      <c r="D138" s="31">
        <v>51013.7</v>
      </c>
      <c r="E138" s="31">
        <v>30664.9</v>
      </c>
      <c r="F138" s="31">
        <f>46618.1-0.01</f>
        <v>46618.09</v>
      </c>
      <c r="G138" s="31">
        <v>58618.3</v>
      </c>
      <c r="H138" s="31">
        <v>55019.4</v>
      </c>
      <c r="I138" s="31">
        <v>66262.399999999994</v>
      </c>
      <c r="J138" s="31">
        <v>76114.7</v>
      </c>
      <c r="K138" s="31">
        <v>104386.18</v>
      </c>
      <c r="L138" s="31">
        <v>258086.75</v>
      </c>
      <c r="M138" s="31">
        <v>421819.4</v>
      </c>
    </row>
    <row r="139" spans="1:13">
      <c r="A139" s="8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</row>
    <row r="140" spans="1:13" ht="18" customHeight="1">
      <c r="A140" s="34" t="s">
        <v>50</v>
      </c>
      <c r="B140" s="35">
        <f t="shared" ref="B140:H140" si="61">B93-B131</f>
        <v>15313.820000000007</v>
      </c>
      <c r="C140" s="35">
        <f t="shared" si="61"/>
        <v>14441.049999999974</v>
      </c>
      <c r="D140" s="35">
        <f t="shared" si="61"/>
        <v>11894.220000000001</v>
      </c>
      <c r="E140" s="35">
        <f t="shared" si="61"/>
        <v>14072.529999999999</v>
      </c>
      <c r="F140" s="35">
        <f t="shared" si="61"/>
        <v>7170.2201000000059</v>
      </c>
      <c r="G140" s="35">
        <f t="shared" si="61"/>
        <v>13660.299999999988</v>
      </c>
      <c r="H140" s="35">
        <f t="shared" si="61"/>
        <v>17404.109999999986</v>
      </c>
      <c r="I140" s="35">
        <f>I93-I131</f>
        <v>24391.540000000008</v>
      </c>
      <c r="J140" s="35">
        <f>J93-J131+0.02</f>
        <v>-21954.840000000015</v>
      </c>
      <c r="K140" s="35">
        <f>K93-K131+0.02</f>
        <v>-15854.73</v>
      </c>
      <c r="L140" s="35">
        <f>L93-L131+0.02</f>
        <v>94449.33</v>
      </c>
      <c r="M140" s="35">
        <f>M93-M131+0.02</f>
        <v>215575.87000000002</v>
      </c>
    </row>
    <row r="141" spans="1:13" ht="18" customHeight="1">
      <c r="A141" s="34" t="s">
        <v>51</v>
      </c>
      <c r="B141" s="35">
        <f t="shared" ref="B141:H141" si="62">B92-(B130-B135)</f>
        <v>-21082.98000000001</v>
      </c>
      <c r="C141" s="35">
        <f t="shared" si="62"/>
        <v>-20925.440000000031</v>
      </c>
      <c r="D141" s="35">
        <f t="shared" si="62"/>
        <v>-28588.98000000001</v>
      </c>
      <c r="E141" s="35">
        <f t="shared" si="62"/>
        <v>-2833.929999999993</v>
      </c>
      <c r="F141" s="35">
        <f t="shared" si="62"/>
        <v>-24843.969900000026</v>
      </c>
      <c r="G141" s="35">
        <f t="shared" si="62"/>
        <v>-24732.500000000029</v>
      </c>
      <c r="H141" s="35">
        <f t="shared" si="62"/>
        <v>-18331.190000000002</v>
      </c>
      <c r="I141" s="35">
        <f>I92-(I130-I135)</f>
        <v>-21415.359999999928</v>
      </c>
      <c r="J141" s="35">
        <f>J92-(J130-J135)</f>
        <v>-82726.160000000062</v>
      </c>
      <c r="K141" s="35">
        <f>K92-(K130-K135)</f>
        <v>-106933.22999999998</v>
      </c>
      <c r="L141" s="35">
        <f>L92-(L130-L135)</f>
        <v>-146564.71999999997</v>
      </c>
      <c r="M141" s="35">
        <f>M92-(M130-M135)</f>
        <v>-190602.75</v>
      </c>
    </row>
    <row r="142" spans="1:13" s="43" customFormat="1" ht="18" customHeight="1">
      <c r="A142" s="34" t="s">
        <v>52</v>
      </c>
      <c r="B142" s="36">
        <f t="shared" ref="B142:F142" si="63">B92-B130</f>
        <v>-27618.48000000001</v>
      </c>
      <c r="C142" s="36">
        <f t="shared" si="63"/>
        <v>-27031.74000000002</v>
      </c>
      <c r="D142" s="36">
        <f t="shared" si="63"/>
        <v>-34928.48000000001</v>
      </c>
      <c r="E142" s="36">
        <f t="shared" si="63"/>
        <v>-9319.429999999993</v>
      </c>
      <c r="F142" s="36">
        <f t="shared" si="63"/>
        <v>-31570.769900000014</v>
      </c>
      <c r="G142" s="36">
        <f>G92-G130+0.1</f>
        <v>-32759.100000000042</v>
      </c>
      <c r="H142" s="36">
        <f>H92-H130-0.1</f>
        <v>-26841.990000000013</v>
      </c>
      <c r="I142" s="36">
        <f>I92-I130</f>
        <v>-29926.059999999939</v>
      </c>
      <c r="J142" s="36">
        <f>J92-J130</f>
        <v>-90487.760000000038</v>
      </c>
      <c r="K142" s="36">
        <f>K92-K130</f>
        <v>-114848.93</v>
      </c>
      <c r="L142" s="36">
        <f>L92-L130</f>
        <v>-155523.02000000002</v>
      </c>
      <c r="M142" s="36">
        <f>M92-M130</f>
        <v>-202942.55000000005</v>
      </c>
    </row>
    <row r="143" spans="1:13">
      <c r="A143" s="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</row>
    <row r="144" spans="1:13" s="43" customFormat="1">
      <c r="A144" s="9" t="s">
        <v>53</v>
      </c>
      <c r="B144" s="12">
        <f t="shared" ref="B144:J144" si="64">SUM(B146,B147,B151)</f>
        <v>27618.5</v>
      </c>
      <c r="C144" s="12">
        <f t="shared" si="64"/>
        <v>27031.800000000003</v>
      </c>
      <c r="D144" s="12">
        <f t="shared" si="64"/>
        <v>34928.369999999995</v>
      </c>
      <c r="E144" s="12">
        <f t="shared" si="64"/>
        <v>9319.4000000000015</v>
      </c>
      <c r="F144" s="12">
        <f t="shared" si="64"/>
        <v>31570.65</v>
      </c>
      <c r="G144" s="12">
        <f t="shared" si="64"/>
        <v>32759.14</v>
      </c>
      <c r="H144" s="12">
        <f t="shared" si="64"/>
        <v>26841.96</v>
      </c>
      <c r="I144" s="12">
        <f t="shared" si="64"/>
        <v>29926.140000000003</v>
      </c>
      <c r="J144" s="12">
        <f t="shared" si="64"/>
        <v>90487.8</v>
      </c>
      <c r="K144" s="12">
        <f>SUM(K146,K147,K151)</f>
        <v>114848.90000000001</v>
      </c>
      <c r="L144" s="12">
        <f>SUM(L146,L147,L151)</f>
        <v>155523</v>
      </c>
      <c r="M144" s="12">
        <f>SUM(M146,M147,M151)</f>
        <v>202942.6</v>
      </c>
    </row>
    <row r="145" spans="1:13">
      <c r="A145" s="8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</row>
    <row r="146" spans="1:13" s="46" customFormat="1">
      <c r="A146" s="37" t="s">
        <v>54</v>
      </c>
      <c r="B146" s="26">
        <v>22044.2</v>
      </c>
      <c r="C146" s="26">
        <v>18545.2</v>
      </c>
      <c r="D146" s="26">
        <v>-13753.4</v>
      </c>
      <c r="E146" s="26">
        <v>-5264.8</v>
      </c>
      <c r="F146" s="26">
        <v>7836.8</v>
      </c>
      <c r="G146" s="26">
        <f>8740.1-0.03</f>
        <v>8740.07</v>
      </c>
      <c r="H146" s="26">
        <f>5501.6+0.03</f>
        <v>5501.63</v>
      </c>
      <c r="I146" s="26">
        <f>10964.5-0.03</f>
        <v>10964.47</v>
      </c>
      <c r="J146" s="26">
        <v>2322.8000000000002</v>
      </c>
      <c r="K146" s="26">
        <v>11683.7</v>
      </c>
      <c r="L146" s="26">
        <v>31260.9</v>
      </c>
      <c r="M146" s="26">
        <v>48042.5</v>
      </c>
    </row>
    <row r="147" spans="1:13" s="43" customFormat="1">
      <c r="A147" s="9" t="s">
        <v>55</v>
      </c>
      <c r="B147" s="10">
        <f t="shared" ref="B147:H147" si="65">SUM(B148:B149)</f>
        <v>-14741.9</v>
      </c>
      <c r="C147" s="10">
        <f t="shared" si="65"/>
        <v>10261.6</v>
      </c>
      <c r="D147" s="10">
        <f t="shared" si="65"/>
        <v>11509.269999999999</v>
      </c>
      <c r="E147" s="10">
        <f t="shared" si="65"/>
        <v>29092.9</v>
      </c>
      <c r="F147" s="10">
        <f t="shared" si="65"/>
        <v>10070.52</v>
      </c>
      <c r="G147" s="10">
        <f t="shared" si="65"/>
        <v>449.80000000000018</v>
      </c>
      <c r="H147" s="10">
        <f t="shared" si="65"/>
        <v>-25679.200000000001</v>
      </c>
      <c r="I147" s="10">
        <f>SUM(I148:I149)</f>
        <v>27252.47</v>
      </c>
      <c r="J147" s="10">
        <f>SUM(J148:J149)</f>
        <v>60514.5</v>
      </c>
      <c r="K147" s="10">
        <f>SUM(K148:K149)</f>
        <v>-113225.79999999999</v>
      </c>
      <c r="L147" s="10">
        <f>SUM(L148:L149)</f>
        <v>23238</v>
      </c>
      <c r="M147" s="10">
        <f>SUM(M148:M149)</f>
        <v>163252.4</v>
      </c>
    </row>
    <row r="148" spans="1:13">
      <c r="A148" s="8" t="s">
        <v>56</v>
      </c>
      <c r="B148" s="38">
        <v>-7815.7</v>
      </c>
      <c r="C148" s="38">
        <v>17294.5</v>
      </c>
      <c r="D148" s="38">
        <f>11650.3-0.03</f>
        <v>11650.269999999999</v>
      </c>
      <c r="E148" s="38">
        <v>28007</v>
      </c>
      <c r="F148" s="38">
        <f>8482.5+0.02</f>
        <v>8482.52</v>
      </c>
      <c r="G148" s="38">
        <v>-1535.6</v>
      </c>
      <c r="H148" s="38">
        <v>-24059.7</v>
      </c>
      <c r="I148" s="38">
        <f>24643.6-0.03</f>
        <v>24643.57</v>
      </c>
      <c r="J148" s="38">
        <v>59902.400000000001</v>
      </c>
      <c r="K148" s="38">
        <v>-115145.4</v>
      </c>
      <c r="L148" s="38">
        <v>0</v>
      </c>
      <c r="M148" s="38">
        <v>132503.4</v>
      </c>
    </row>
    <row r="149" spans="1:13">
      <c r="A149" s="8" t="s">
        <v>57</v>
      </c>
      <c r="B149" s="38">
        <v>-6926.2</v>
      </c>
      <c r="C149" s="38">
        <v>-7032.9</v>
      </c>
      <c r="D149" s="38">
        <v>-141</v>
      </c>
      <c r="E149" s="38">
        <v>1085.9000000000001</v>
      </c>
      <c r="F149" s="38">
        <v>1588</v>
      </c>
      <c r="G149" s="38">
        <v>1985.4</v>
      </c>
      <c r="H149" s="38">
        <v>-1619.5</v>
      </c>
      <c r="I149" s="38">
        <v>2608.9</v>
      </c>
      <c r="J149" s="38">
        <v>612.1</v>
      </c>
      <c r="K149" s="38">
        <v>1919.6</v>
      </c>
      <c r="L149" s="38">
        <v>23238</v>
      </c>
      <c r="M149" s="38">
        <v>30749</v>
      </c>
    </row>
    <row r="150" spans="1:13">
      <c r="A150" s="8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</row>
    <row r="151" spans="1:13">
      <c r="A151" s="8" t="s">
        <v>48</v>
      </c>
      <c r="B151" s="24">
        <v>20316.2</v>
      </c>
      <c r="C151" s="24">
        <v>-1775</v>
      </c>
      <c r="D151" s="24">
        <v>37172.5</v>
      </c>
      <c r="E151" s="24">
        <v>-14508.7</v>
      </c>
      <c r="F151" s="24">
        <f>13663.3+0.03</f>
        <v>13663.33</v>
      </c>
      <c r="G151" s="24">
        <f>23569.3-0.03</f>
        <v>23569.27</v>
      </c>
      <c r="H151" s="24">
        <f>47019.5+0.03</f>
        <v>47019.53</v>
      </c>
      <c r="I151" s="24">
        <v>-8290.7999999999993</v>
      </c>
      <c r="J151" s="24">
        <v>27650.5</v>
      </c>
      <c r="K151" s="24">
        <v>216391</v>
      </c>
      <c r="L151" s="24">
        <v>101024.1</v>
      </c>
      <c r="M151" s="24">
        <v>-8352.2999999999993</v>
      </c>
    </row>
    <row r="152" spans="1:13" ht="13.5" thickBot="1">
      <c r="A152" s="39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</row>
    <row r="153" spans="1:13">
      <c r="A153" s="41" t="s">
        <v>58</v>
      </c>
    </row>
    <row r="154" spans="1:13">
      <c r="A154" s="1" t="s">
        <v>59</v>
      </c>
    </row>
    <row r="155" spans="1:13">
      <c r="A155" s="1" t="s">
        <v>60</v>
      </c>
    </row>
    <row r="156" spans="1:13">
      <c r="A156" s="1" t="s">
        <v>61</v>
      </c>
    </row>
    <row r="157" spans="1:13">
      <c r="A157" s="1" t="s">
        <v>62</v>
      </c>
    </row>
    <row r="158" spans="1:13">
      <c r="A158" s="1" t="s">
        <v>63</v>
      </c>
    </row>
    <row r="159" spans="1:13" ht="15">
      <c r="A159" t="s">
        <v>64</v>
      </c>
    </row>
    <row r="160" spans="1:13">
      <c r="A160" s="1" t="s">
        <v>65</v>
      </c>
    </row>
    <row r="161" spans="1:13">
      <c r="A161" s="1" t="s">
        <v>66</v>
      </c>
    </row>
    <row r="162" spans="1:13">
      <c r="A162" s="1" t="s">
        <v>67</v>
      </c>
    </row>
    <row r="163" spans="1:13">
      <c r="A163" s="50" t="s">
        <v>69</v>
      </c>
    </row>
    <row r="164" spans="1:13">
      <c r="A164" s="46" t="s">
        <v>70</v>
      </c>
    </row>
    <row r="165" spans="1:13">
      <c r="A165" s="46"/>
    </row>
    <row r="168" spans="1:13">
      <c r="A168" s="4" t="s">
        <v>2</v>
      </c>
    </row>
    <row r="169" spans="1:13">
      <c r="A169" s="4" t="s">
        <v>3</v>
      </c>
    </row>
    <row r="170" spans="1:13">
      <c r="A170" s="4"/>
    </row>
    <row r="171" spans="1:13">
      <c r="A171" s="4" t="s">
        <v>71</v>
      </c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1:13" ht="13.5" thickBot="1">
      <c r="A172" s="7" t="s">
        <v>5</v>
      </c>
      <c r="B172" s="7">
        <v>2012</v>
      </c>
      <c r="C172" s="7">
        <v>2013</v>
      </c>
      <c r="D172" s="7">
        <v>2014</v>
      </c>
      <c r="E172" s="7">
        <v>2015</v>
      </c>
      <c r="F172" s="7">
        <v>2016</v>
      </c>
      <c r="G172" s="7">
        <v>2017</v>
      </c>
      <c r="H172" s="7">
        <v>2018</v>
      </c>
      <c r="I172" s="7">
        <v>2019</v>
      </c>
      <c r="J172" s="7">
        <v>2020</v>
      </c>
      <c r="K172" s="7">
        <v>2021</v>
      </c>
      <c r="L172" s="7">
        <v>2022</v>
      </c>
      <c r="M172" s="7">
        <v>2023</v>
      </c>
    </row>
    <row r="173" spans="1:13">
      <c r="A173" s="8"/>
    </row>
    <row r="174" spans="1:13">
      <c r="A174" s="9" t="s">
        <v>6</v>
      </c>
      <c r="B174" s="10">
        <f t="shared" ref="B174:M174" si="66">B10/2.7</f>
        <v>704.67248972521588</v>
      </c>
      <c r="C174" s="10">
        <f t="shared" si="66"/>
        <v>711.19405568710692</v>
      </c>
      <c r="D174" s="10">
        <f t="shared" si="66"/>
        <v>724.00043463563054</v>
      </c>
      <c r="E174" s="10">
        <f t="shared" si="66"/>
        <v>817.02442856970174</v>
      </c>
      <c r="F174" s="10">
        <f t="shared" si="66"/>
        <v>890.05236899860608</v>
      </c>
      <c r="G174" s="10">
        <f t="shared" si="66"/>
        <v>976.74287307615259</v>
      </c>
      <c r="H174" s="10">
        <f t="shared" si="66"/>
        <v>1070.8389791001509</v>
      </c>
      <c r="I174" s="10">
        <f t="shared" si="66"/>
        <v>1175.296767737882</v>
      </c>
      <c r="J174" s="10">
        <f t="shared" si="66"/>
        <v>1091.5974744405171</v>
      </c>
      <c r="K174" s="10">
        <f t="shared" si="66"/>
        <v>1293.717677787012</v>
      </c>
      <c r="L174" s="10">
        <f t="shared" si="66"/>
        <v>2109.9416709528095</v>
      </c>
      <c r="M174" s="10">
        <f t="shared" si="66"/>
        <v>2854.1771340631162</v>
      </c>
    </row>
    <row r="175" spans="1:13">
      <c r="A175" s="11" t="s">
        <v>7</v>
      </c>
      <c r="B175" s="12">
        <f t="shared" ref="B175:M175" si="67">B11/2.7</f>
        <v>638.44241626970188</v>
      </c>
      <c r="C175" s="12">
        <f t="shared" si="67"/>
        <v>668.70996978851963</v>
      </c>
      <c r="D175" s="12">
        <f t="shared" si="67"/>
        <v>703.76090211039752</v>
      </c>
      <c r="E175" s="12">
        <f t="shared" si="67"/>
        <v>781.86014915811484</v>
      </c>
      <c r="F175" s="12">
        <f t="shared" si="67"/>
        <v>852.19564952020892</v>
      </c>
      <c r="G175" s="12">
        <f t="shared" si="67"/>
        <v>919.2540165650172</v>
      </c>
      <c r="H175" s="12">
        <f t="shared" si="67"/>
        <v>1020.1932579867981</v>
      </c>
      <c r="I175" s="12">
        <f t="shared" si="67"/>
        <v>1119.7046517580807</v>
      </c>
      <c r="J175" s="12">
        <f t="shared" si="67"/>
        <v>1056.3768363922127</v>
      </c>
      <c r="K175" s="12">
        <f t="shared" si="67"/>
        <v>1268.111599192687</v>
      </c>
      <c r="L175" s="12">
        <f t="shared" si="67"/>
        <v>2070.814661823325</v>
      </c>
      <c r="M175" s="12">
        <f t="shared" si="67"/>
        <v>2838.5059085568241</v>
      </c>
    </row>
    <row r="176" spans="1:13">
      <c r="A176" s="44" t="s">
        <v>8</v>
      </c>
      <c r="B176" s="12">
        <f t="shared" ref="B176:M176" si="68">B12/2.7</f>
        <v>580.12985039260707</v>
      </c>
      <c r="C176" s="12">
        <f t="shared" si="68"/>
        <v>619.79137748019934</v>
      </c>
      <c r="D176" s="10">
        <f t="shared" si="68"/>
        <v>656.24943255903815</v>
      </c>
      <c r="E176" s="10">
        <f t="shared" si="68"/>
        <v>690.89593985325939</v>
      </c>
      <c r="F176" s="10">
        <f t="shared" si="68"/>
        <v>729.27701376095354</v>
      </c>
      <c r="G176" s="10">
        <f t="shared" si="68"/>
        <v>806.57231387919092</v>
      </c>
      <c r="H176" s="10">
        <f t="shared" si="68"/>
        <v>933.20600944116916</v>
      </c>
      <c r="I176" s="10">
        <f t="shared" si="68"/>
        <v>1051.7903800060503</v>
      </c>
      <c r="J176" s="10">
        <f t="shared" si="68"/>
        <v>1014.2347097968016</v>
      </c>
      <c r="K176" s="10">
        <f t="shared" si="68"/>
        <v>1211.3758043452456</v>
      </c>
      <c r="L176" s="10">
        <f t="shared" si="68"/>
        <v>1409.6217211006815</v>
      </c>
      <c r="M176" s="10">
        <f t="shared" si="68"/>
        <v>1740.474409441031</v>
      </c>
    </row>
    <row r="177" spans="1:13">
      <c r="A177" s="45" t="s">
        <v>9</v>
      </c>
      <c r="B177" s="15">
        <f t="shared" ref="B177:M177" si="69">B13/2.7</f>
        <v>215.45935434319003</v>
      </c>
      <c r="C177" s="15">
        <f t="shared" si="69"/>
        <v>225.98889523965053</v>
      </c>
      <c r="D177" s="15">
        <f t="shared" si="69"/>
        <v>247.1777176800116</v>
      </c>
      <c r="E177" s="15">
        <f t="shared" si="69"/>
        <v>263.50548162115774</v>
      </c>
      <c r="F177" s="15">
        <f t="shared" si="69"/>
        <v>291.35549396856925</v>
      </c>
      <c r="G177" s="15">
        <f t="shared" si="69"/>
        <v>319.27173618501928</v>
      </c>
      <c r="H177" s="15">
        <f t="shared" si="69"/>
        <v>367.781090239555</v>
      </c>
      <c r="I177" s="15">
        <f t="shared" si="69"/>
        <v>435.60095874153535</v>
      </c>
      <c r="J177" s="15">
        <f t="shared" si="69"/>
        <v>486.38930934232479</v>
      </c>
      <c r="K177" s="15">
        <f t="shared" si="69"/>
        <v>583.44409355336586</v>
      </c>
      <c r="L177" s="15">
        <f t="shared" si="69"/>
        <v>788.30198019801981</v>
      </c>
      <c r="M177" s="15">
        <f t="shared" si="69"/>
        <v>1005.6309436679338</v>
      </c>
    </row>
    <row r="178" spans="1:13" ht="14.25">
      <c r="A178" s="22" t="s">
        <v>10</v>
      </c>
      <c r="B178" s="17">
        <f t="shared" ref="B178:M178" si="70">B14/2.7</f>
        <v>136.26089372237246</v>
      </c>
      <c r="C178" s="17">
        <f t="shared" si="70"/>
        <v>151.52608802155632</v>
      </c>
      <c r="D178" s="17">
        <f t="shared" si="70"/>
        <v>160.73467909402621</v>
      </c>
      <c r="E178" s="17">
        <f t="shared" si="70"/>
        <v>167.32025480170674</v>
      </c>
      <c r="F178" s="17">
        <f t="shared" si="70"/>
        <v>182.12964772599841</v>
      </c>
      <c r="G178" s="17">
        <f t="shared" si="70"/>
        <v>217.15158679354209</v>
      </c>
      <c r="H178" s="17">
        <f t="shared" si="70"/>
        <v>246.45963998197956</v>
      </c>
      <c r="I178" s="17">
        <f t="shared" si="70"/>
        <v>299.65140902427106</v>
      </c>
      <c r="J178" s="17">
        <f t="shared" si="70"/>
        <v>325.24994290005765</v>
      </c>
      <c r="K178" s="17">
        <f t="shared" si="70"/>
        <v>379.68144366615229</v>
      </c>
      <c r="L178" s="17">
        <f t="shared" si="70"/>
        <v>523.67069564099268</v>
      </c>
      <c r="M178" s="17">
        <f t="shared" si="70"/>
        <v>683.60069470544238</v>
      </c>
    </row>
    <row r="179" spans="1:13">
      <c r="A179" s="22" t="s">
        <v>11</v>
      </c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</row>
    <row r="180" spans="1:13">
      <c r="A180" s="22" t="s">
        <v>12</v>
      </c>
      <c r="B180" s="17">
        <f t="shared" ref="B180:M180" si="71">B16/2.7</f>
        <v>79.198460620817556</v>
      </c>
      <c r="C180" s="17">
        <f t="shared" si="71"/>
        <v>74.462807218094241</v>
      </c>
      <c r="D180" s="17">
        <f t="shared" si="71"/>
        <v>86.442893707441939</v>
      </c>
      <c r="E180" s="17">
        <f t="shared" si="71"/>
        <v>96.185081771041098</v>
      </c>
      <c r="F180" s="17">
        <f t="shared" si="71"/>
        <v>109.225702064944</v>
      </c>
      <c r="G180" s="17">
        <f t="shared" si="71"/>
        <v>102.12014939147714</v>
      </c>
      <c r="H180" s="17">
        <f t="shared" si="71"/>
        <v>121.32145025757546</v>
      </c>
      <c r="I180" s="17">
        <f t="shared" si="71"/>
        <v>135.94954971726432</v>
      </c>
      <c r="J180" s="17">
        <f t="shared" si="71"/>
        <v>161.13936644226712</v>
      </c>
      <c r="K180" s="17">
        <f t="shared" si="71"/>
        <v>203.7626498872136</v>
      </c>
      <c r="L180" s="17">
        <f t="shared" si="71"/>
        <v>264.63128455702713</v>
      </c>
      <c r="M180" s="17">
        <f t="shared" si="71"/>
        <v>322.03024896249138</v>
      </c>
    </row>
    <row r="181" spans="1:13">
      <c r="A181" s="22" t="s">
        <v>13</v>
      </c>
      <c r="B181" s="20">
        <f t="shared" ref="B181:M181" si="72">B17/2.7</f>
        <v>0</v>
      </c>
      <c r="C181" s="20">
        <f t="shared" si="72"/>
        <v>0</v>
      </c>
      <c r="D181" s="20">
        <f t="shared" si="72"/>
        <v>0</v>
      </c>
      <c r="E181" s="20">
        <f t="shared" si="72"/>
        <v>0</v>
      </c>
      <c r="F181" s="20">
        <f t="shared" si="72"/>
        <v>0</v>
      </c>
      <c r="G181" s="20">
        <f t="shared" si="72"/>
        <v>0</v>
      </c>
      <c r="H181" s="20">
        <f t="shared" si="72"/>
        <v>0</v>
      </c>
      <c r="I181" s="20">
        <f t="shared" si="72"/>
        <v>0</v>
      </c>
      <c r="J181" s="20">
        <f t="shared" si="72"/>
        <v>0</v>
      </c>
      <c r="K181" s="20">
        <f t="shared" si="72"/>
        <v>0</v>
      </c>
      <c r="L181" s="20">
        <f t="shared" si="72"/>
        <v>0</v>
      </c>
      <c r="M181" s="20">
        <f t="shared" si="72"/>
        <v>0</v>
      </c>
    </row>
    <row r="182" spans="1:13">
      <c r="A182" s="22" t="s">
        <v>14</v>
      </c>
      <c r="B182" s="17">
        <f t="shared" ref="B182:M182" si="73">B18/2.7</f>
        <v>0</v>
      </c>
      <c r="C182" s="17">
        <f t="shared" si="73"/>
        <v>0</v>
      </c>
      <c r="D182" s="17">
        <f t="shared" si="73"/>
        <v>0</v>
      </c>
      <c r="E182" s="17">
        <f t="shared" si="73"/>
        <v>0</v>
      </c>
      <c r="F182" s="17">
        <f t="shared" si="73"/>
        <v>0</v>
      </c>
      <c r="G182" s="17">
        <f t="shared" si="73"/>
        <v>0</v>
      </c>
      <c r="H182" s="17">
        <f t="shared" si="73"/>
        <v>0</v>
      </c>
      <c r="I182" s="17">
        <f t="shared" si="73"/>
        <v>0</v>
      </c>
      <c r="J182" s="17">
        <f t="shared" si="73"/>
        <v>0</v>
      </c>
      <c r="K182" s="17">
        <f t="shared" si="73"/>
        <v>0</v>
      </c>
      <c r="L182" s="17">
        <f t="shared" si="73"/>
        <v>0</v>
      </c>
      <c r="M182" s="17">
        <f t="shared" si="73"/>
        <v>0</v>
      </c>
    </row>
    <row r="183" spans="1:13">
      <c r="A183" s="45" t="s">
        <v>15</v>
      </c>
      <c r="B183" s="15">
        <f t="shared" ref="B183:M183" si="74">B19/2.7</f>
        <v>9.3318734832947925</v>
      </c>
      <c r="C183" s="15">
        <f t="shared" si="74"/>
        <v>12.778966277455703</v>
      </c>
      <c r="D183" s="15">
        <f t="shared" si="74"/>
        <v>11.699425315110835</v>
      </c>
      <c r="E183" s="15">
        <f t="shared" si="74"/>
        <v>15.652657407743169</v>
      </c>
      <c r="F183" s="15">
        <f t="shared" si="74"/>
        <v>15.421719558496067</v>
      </c>
      <c r="G183" s="15">
        <f t="shared" si="74"/>
        <v>17.049479054168156</v>
      </c>
      <c r="H183" s="15">
        <f t="shared" si="74"/>
        <v>20.783107750768814</v>
      </c>
      <c r="I183" s="15">
        <f t="shared" si="74"/>
        <v>20.258487887743467</v>
      </c>
      <c r="J183" s="15">
        <f t="shared" si="74"/>
        <v>18.075604194813387</v>
      </c>
      <c r="K183" s="15">
        <f t="shared" si="74"/>
        <v>23.620657722901583</v>
      </c>
      <c r="L183" s="15">
        <f t="shared" si="74"/>
        <v>28.662980583772669</v>
      </c>
      <c r="M183" s="15">
        <f t="shared" si="74"/>
        <v>34.007746203054957</v>
      </c>
    </row>
    <row r="184" spans="1:13">
      <c r="A184" s="47" t="s">
        <v>16</v>
      </c>
      <c r="B184" s="24">
        <f t="shared" ref="B184:M184" si="75">B20/2.7</f>
        <v>9.1490109243628801</v>
      </c>
      <c r="C184" s="24">
        <f t="shared" si="75"/>
        <v>12.599657058871562</v>
      </c>
      <c r="D184" s="24">
        <f t="shared" si="75"/>
        <v>11.496112425749748</v>
      </c>
      <c r="E184" s="24">
        <f t="shared" si="75"/>
        <v>15.476181842356555</v>
      </c>
      <c r="F184" s="24">
        <f t="shared" si="75"/>
        <v>15.24630344584528</v>
      </c>
      <c r="G184" s="24">
        <f t="shared" si="75"/>
        <v>16.865685123295098</v>
      </c>
      <c r="H184" s="24">
        <f t="shared" si="75"/>
        <v>20.57673398233209</v>
      </c>
      <c r="I184" s="24">
        <f t="shared" si="75"/>
        <v>20.066832662369393</v>
      </c>
      <c r="J184" s="24">
        <f t="shared" si="75"/>
        <v>17.872041932649168</v>
      </c>
      <c r="K184" s="24">
        <f t="shared" si="75"/>
        <v>23.301484031817647</v>
      </c>
      <c r="L184" s="24">
        <f t="shared" si="75"/>
        <v>28.224138485277102</v>
      </c>
      <c r="M184" s="24">
        <f t="shared" si="75"/>
        <v>33.539128611499031</v>
      </c>
    </row>
    <row r="185" spans="1:13">
      <c r="A185" s="47" t="s">
        <v>17</v>
      </c>
      <c r="B185" s="24">
        <f t="shared" ref="B185:M185" si="76">B21/2.7</f>
        <v>0.18286255893191267</v>
      </c>
      <c r="C185" s="24">
        <f t="shared" si="76"/>
        <v>0.17930921858414309</v>
      </c>
      <c r="D185" s="24">
        <f t="shared" si="76"/>
        <v>0.20331288936108569</v>
      </c>
      <c r="E185" s="24">
        <f t="shared" si="76"/>
        <v>0.17647556538661446</v>
      </c>
      <c r="F185" s="24">
        <f t="shared" si="76"/>
        <v>0.17541611265078574</v>
      </c>
      <c r="G185" s="24">
        <f t="shared" si="76"/>
        <v>0.18379393087306045</v>
      </c>
      <c r="H185" s="24">
        <f t="shared" si="76"/>
        <v>0.20637376843672267</v>
      </c>
      <c r="I185" s="24">
        <f t="shared" si="76"/>
        <v>0.19165522537407206</v>
      </c>
      <c r="J185" s="24">
        <f t="shared" si="76"/>
        <v>0.2035622621642233</v>
      </c>
      <c r="K185" s="24">
        <f t="shared" si="76"/>
        <v>0.31917369108393689</v>
      </c>
      <c r="L185" s="24">
        <f t="shared" si="76"/>
        <v>0.43884209849556388</v>
      </c>
      <c r="M185" s="24">
        <f t="shared" si="76"/>
        <v>0.46861759155592647</v>
      </c>
    </row>
    <row r="186" spans="1:13">
      <c r="A186" s="45" t="s">
        <v>18</v>
      </c>
      <c r="B186" s="25">
        <f t="shared" ref="B186:M186" si="77">B22/2.7</f>
        <v>278.70332633367917</v>
      </c>
      <c r="C186" s="25">
        <f t="shared" si="77"/>
        <v>302.07895811219078</v>
      </c>
      <c r="D186" s="15">
        <f t="shared" si="77"/>
        <v>317.32969527213021</v>
      </c>
      <c r="E186" s="15">
        <f t="shared" si="77"/>
        <v>332.67771452055456</v>
      </c>
      <c r="F186" s="15">
        <f t="shared" si="77"/>
        <v>330.20040690130242</v>
      </c>
      <c r="G186" s="15">
        <f t="shared" si="77"/>
        <v>359.6670030985772</v>
      </c>
      <c r="H186" s="15">
        <f t="shared" si="77"/>
        <v>413.03834054805793</v>
      </c>
      <c r="I186" s="15">
        <f t="shared" si="77"/>
        <v>449.35843436576454</v>
      </c>
      <c r="J186" s="15">
        <f t="shared" si="77"/>
        <v>389.42501325880011</v>
      </c>
      <c r="K186" s="15">
        <f t="shared" si="77"/>
        <v>450.09284103051181</v>
      </c>
      <c r="L186" s="15">
        <f t="shared" si="77"/>
        <v>410.93389160344611</v>
      </c>
      <c r="M186" s="15">
        <f t="shared" si="77"/>
        <v>492.72037314702351</v>
      </c>
    </row>
    <row r="187" spans="1:13">
      <c r="A187" s="47" t="s">
        <v>19</v>
      </c>
      <c r="B187" s="24">
        <f t="shared" ref="B187:M187" si="78">B23/2.7</f>
        <v>0</v>
      </c>
      <c r="C187" s="24">
        <f t="shared" si="78"/>
        <v>0</v>
      </c>
      <c r="D187" s="24">
        <f t="shared" si="78"/>
        <v>0</v>
      </c>
      <c r="E187" s="24">
        <f t="shared" si="78"/>
        <v>0</v>
      </c>
      <c r="F187" s="24">
        <f t="shared" si="78"/>
        <v>5.7671050734504901</v>
      </c>
      <c r="G187" s="24">
        <f t="shared" si="78"/>
        <v>1.43642025974638</v>
      </c>
      <c r="H187" s="24">
        <f t="shared" si="78"/>
        <v>0</v>
      </c>
      <c r="I187" s="24">
        <f t="shared" si="78"/>
        <v>0</v>
      </c>
      <c r="J187" s="24">
        <f t="shared" si="78"/>
        <v>0</v>
      </c>
      <c r="K187" s="24">
        <f t="shared" si="78"/>
        <v>0</v>
      </c>
      <c r="L187" s="24">
        <f t="shared" si="78"/>
        <v>0</v>
      </c>
      <c r="M187" s="24">
        <f t="shared" si="78"/>
        <v>0</v>
      </c>
    </row>
    <row r="188" spans="1:13" ht="14.25">
      <c r="A188" s="47" t="s">
        <v>20</v>
      </c>
      <c r="B188" s="24">
        <f t="shared" ref="B188:M188" si="79">B24/2.7</f>
        <v>167.20192504105827</v>
      </c>
      <c r="C188" s="24">
        <f t="shared" si="79"/>
        <v>168.47242590022046</v>
      </c>
      <c r="D188" s="24">
        <f t="shared" si="79"/>
        <v>180.97952383252044</v>
      </c>
      <c r="E188" s="24">
        <f t="shared" si="79"/>
        <v>171.52651364059423</v>
      </c>
      <c r="F188" s="24">
        <f t="shared" si="79"/>
        <v>175.05086266280057</v>
      </c>
      <c r="G188" s="24">
        <f t="shared" si="79"/>
        <v>200.55150746368304</v>
      </c>
      <c r="H188" s="24">
        <f t="shared" si="79"/>
        <v>226.50080504573683</v>
      </c>
      <c r="I188" s="24">
        <f t="shared" si="79"/>
        <v>245.49647453051915</v>
      </c>
      <c r="J188" s="24">
        <f t="shared" si="79"/>
        <v>231.843108714419</v>
      </c>
      <c r="K188" s="24">
        <f t="shared" si="79"/>
        <v>229.73999762554917</v>
      </c>
      <c r="L188" s="24">
        <f t="shared" si="79"/>
        <v>274.02875466118041</v>
      </c>
      <c r="M188" s="24">
        <f t="shared" si="79"/>
        <v>342.01592758605682</v>
      </c>
    </row>
    <row r="189" spans="1:13">
      <c r="A189" s="47" t="s">
        <v>21</v>
      </c>
      <c r="B189" s="24">
        <f t="shared" ref="B189:M189" si="80">B25/2.7</f>
        <v>111.50140129262094</v>
      </c>
      <c r="C189" s="24">
        <f t="shared" si="80"/>
        <v>133.60653221197029</v>
      </c>
      <c r="D189" s="24">
        <f t="shared" si="80"/>
        <v>136.35017143960982</v>
      </c>
      <c r="E189" s="24">
        <f t="shared" si="80"/>
        <v>161.15120087996036</v>
      </c>
      <c r="F189" s="24">
        <f t="shared" si="80"/>
        <v>149.38243916505135</v>
      </c>
      <c r="G189" s="24">
        <f t="shared" si="80"/>
        <v>157.67907537514776</v>
      </c>
      <c r="H189" s="24">
        <f t="shared" si="80"/>
        <v>186.53753550232113</v>
      </c>
      <c r="I189" s="24">
        <f t="shared" si="80"/>
        <v>203.86195983524539</v>
      </c>
      <c r="J189" s="24">
        <f t="shared" si="80"/>
        <v>157.58190454438119</v>
      </c>
      <c r="K189" s="24">
        <f t="shared" si="80"/>
        <v>220.35284340496267</v>
      </c>
      <c r="L189" s="24">
        <f t="shared" si="80"/>
        <v>136.90513694226564</v>
      </c>
      <c r="M189" s="24">
        <f t="shared" si="80"/>
        <v>150.70444556096672</v>
      </c>
    </row>
    <row r="190" spans="1:13">
      <c r="A190" s="45" t="s">
        <v>22</v>
      </c>
      <c r="B190" s="27">
        <f t="shared" ref="B190:M190" si="81">B26/2.7</f>
        <v>63.245148586042617</v>
      </c>
      <c r="C190" s="26">
        <f t="shared" si="81"/>
        <v>65.706540377235243</v>
      </c>
      <c r="D190" s="26">
        <f t="shared" si="81"/>
        <v>66.916308494711942</v>
      </c>
      <c r="E190" s="26">
        <f t="shared" si="81"/>
        <v>67.817867546627028</v>
      </c>
      <c r="F190" s="26">
        <f t="shared" si="81"/>
        <v>81.450266728609648</v>
      </c>
      <c r="G190" s="26">
        <f t="shared" si="81"/>
        <v>87.168748748198396</v>
      </c>
      <c r="H190" s="26">
        <f t="shared" si="81"/>
        <v>103.21509020037999</v>
      </c>
      <c r="I190" s="26">
        <f t="shared" si="81"/>
        <v>116.31256835687525</v>
      </c>
      <c r="J190" s="26">
        <f t="shared" si="81"/>
        <v>91.240768197461264</v>
      </c>
      <c r="K190" s="26">
        <f t="shared" si="81"/>
        <v>121.62602398195419</v>
      </c>
      <c r="L190" s="26">
        <f t="shared" si="81"/>
        <v>145.97707985084222</v>
      </c>
      <c r="M190" s="26">
        <f t="shared" si="81"/>
        <v>164.99573919270159</v>
      </c>
    </row>
    <row r="191" spans="1:13">
      <c r="A191" s="47" t="s">
        <v>23</v>
      </c>
      <c r="B191" s="24">
        <f t="shared" ref="B191:M191" si="82">B27/2.7</f>
        <v>56.676460735208785</v>
      </c>
      <c r="C191" s="24">
        <f t="shared" si="82"/>
        <v>58.131950681799637</v>
      </c>
      <c r="D191" s="24">
        <f t="shared" si="82"/>
        <v>58.755638189984076</v>
      </c>
      <c r="E191" s="24">
        <f t="shared" si="82"/>
        <v>59.745923535313246</v>
      </c>
      <c r="F191" s="24">
        <f t="shared" si="82"/>
        <v>71.546224949137326</v>
      </c>
      <c r="G191" s="24">
        <f t="shared" si="82"/>
        <v>76.688724556518594</v>
      </c>
      <c r="H191" s="24">
        <f t="shared" si="82"/>
        <v>90.826082698372289</v>
      </c>
      <c r="I191" s="24">
        <f t="shared" si="82"/>
        <v>103.02050124496778</v>
      </c>
      <c r="J191" s="24">
        <f t="shared" si="82"/>
        <v>86.515169228744298</v>
      </c>
      <c r="K191" s="24">
        <f t="shared" si="82"/>
        <v>112.7251573073727</v>
      </c>
      <c r="L191" s="24">
        <f t="shared" si="82"/>
        <v>130.79529381509579</v>
      </c>
      <c r="M191" s="24">
        <f t="shared" si="82"/>
        <v>144.36854202849239</v>
      </c>
    </row>
    <row r="192" spans="1:13">
      <c r="A192" s="47" t="s">
        <v>24</v>
      </c>
      <c r="B192" s="24">
        <f t="shared" ref="B192:M192" si="83">B28/2.7</f>
        <v>4.4612581401619444E-2</v>
      </c>
      <c r="C192" s="24">
        <f t="shared" si="83"/>
        <v>6.9078141585694461E-2</v>
      </c>
      <c r="D192" s="24">
        <f t="shared" si="83"/>
        <v>6.6644130004346366E-2</v>
      </c>
      <c r="E192" s="24">
        <f t="shared" si="83"/>
        <v>5.6085385163965142E-2</v>
      </c>
      <c r="F192" s="24">
        <f t="shared" si="83"/>
        <v>6.1515787450138568E-2</v>
      </c>
      <c r="G192" s="24">
        <f t="shared" si="83"/>
        <v>0.10650622660849145</v>
      </c>
      <c r="H192" s="24">
        <f t="shared" si="83"/>
        <v>0.15419270170215268</v>
      </c>
      <c r="I192" s="24">
        <f t="shared" si="83"/>
        <v>0.13543387708561189</v>
      </c>
      <c r="J192" s="24">
        <f t="shared" si="83"/>
        <v>0.12774902349420678</v>
      </c>
      <c r="K192" s="24">
        <f t="shared" si="83"/>
        <v>0.13914282322212992</v>
      </c>
      <c r="L192" s="24">
        <f t="shared" si="83"/>
        <v>0.40696926835540698</v>
      </c>
      <c r="M192" s="24">
        <f t="shared" si="83"/>
        <v>0.63715091644940636</v>
      </c>
    </row>
    <row r="193" spans="1:13">
      <c r="A193" s="47" t="s">
        <v>25</v>
      </c>
      <c r="B193" s="23">
        <f t="shared" ref="B193:M193" si="84">B29/2.7</f>
        <v>6.5240752694322097</v>
      </c>
      <c r="C193" s="23">
        <f t="shared" si="84"/>
        <v>7.5055115538499226</v>
      </c>
      <c r="D193" s="23">
        <f t="shared" si="84"/>
        <v>8.0940261747235258</v>
      </c>
      <c r="E193" s="23">
        <f t="shared" si="84"/>
        <v>8.0158586261498108</v>
      </c>
      <c r="F193" s="23">
        <f t="shared" si="84"/>
        <v>9.8425259920221713</v>
      </c>
      <c r="G193" s="23">
        <f t="shared" si="84"/>
        <v>10.373517965071299</v>
      </c>
      <c r="H193" s="23">
        <f t="shared" si="84"/>
        <v>12.234814800305566</v>
      </c>
      <c r="I193" s="23">
        <f t="shared" si="84"/>
        <v>13.156633234821864</v>
      </c>
      <c r="J193" s="23">
        <f t="shared" si="84"/>
        <v>4.5978499452227668</v>
      </c>
      <c r="K193" s="23">
        <f t="shared" si="84"/>
        <v>8.7617238513593758</v>
      </c>
      <c r="L193" s="23">
        <f t="shared" si="84"/>
        <v>14.774816767391023</v>
      </c>
      <c r="M193" s="23">
        <f t="shared" si="84"/>
        <v>19.99004624775981</v>
      </c>
    </row>
    <row r="194" spans="1:13">
      <c r="A194" s="45" t="s">
        <v>26</v>
      </c>
      <c r="B194" s="25">
        <f t="shared" ref="B194:M194" si="85">B30/2.7</f>
        <v>13.390147646400349</v>
      </c>
      <c r="C194" s="15">
        <f t="shared" si="85"/>
        <v>13.238017473667021</v>
      </c>
      <c r="D194" s="15">
        <f t="shared" si="85"/>
        <v>13.126285797073455</v>
      </c>
      <c r="E194" s="15">
        <f t="shared" si="85"/>
        <v>11.242218757176873</v>
      </c>
      <c r="F194" s="15">
        <f t="shared" si="85"/>
        <v>10.849126603976098</v>
      </c>
      <c r="G194" s="15">
        <f t="shared" si="85"/>
        <v>23.415346793227901</v>
      </c>
      <c r="H194" s="15">
        <f t="shared" si="85"/>
        <v>28.388380702407307</v>
      </c>
      <c r="I194" s="15">
        <f t="shared" si="85"/>
        <v>30.259930654131658</v>
      </c>
      <c r="J194" s="15">
        <f t="shared" si="85"/>
        <v>29.104014803401995</v>
      </c>
      <c r="K194" s="15">
        <f t="shared" si="85"/>
        <v>32.592188056511937</v>
      </c>
      <c r="L194" s="15">
        <f t="shared" si="85"/>
        <v>35.74578886460074</v>
      </c>
      <c r="M194" s="15">
        <f t="shared" si="85"/>
        <v>43.119607230317008</v>
      </c>
    </row>
    <row r="195" spans="1:13">
      <c r="A195" s="47" t="s">
        <v>27</v>
      </c>
      <c r="B195" s="28">
        <f t="shared" ref="B195:M195" si="86">B31/2.7</f>
        <v>0</v>
      </c>
      <c r="C195" s="28">
        <f t="shared" si="86"/>
        <v>0</v>
      </c>
      <c r="D195" s="28">
        <f t="shared" si="86"/>
        <v>0</v>
      </c>
      <c r="E195" s="28">
        <f t="shared" si="86"/>
        <v>0</v>
      </c>
      <c r="F195" s="28">
        <f t="shared" si="86"/>
        <v>0</v>
      </c>
      <c r="G195" s="28">
        <f t="shared" si="86"/>
        <v>0</v>
      </c>
      <c r="H195" s="28">
        <f t="shared" si="86"/>
        <v>0</v>
      </c>
      <c r="I195" s="28">
        <f t="shared" si="86"/>
        <v>0</v>
      </c>
      <c r="J195" s="28">
        <f t="shared" si="86"/>
        <v>0</v>
      </c>
      <c r="K195" s="28">
        <f t="shared" si="86"/>
        <v>0</v>
      </c>
      <c r="L195" s="28">
        <f t="shared" si="86"/>
        <v>0</v>
      </c>
      <c r="M195" s="28">
        <f t="shared" si="86"/>
        <v>0</v>
      </c>
    </row>
    <row r="196" spans="1:13">
      <c r="A196" s="47" t="s">
        <v>28</v>
      </c>
      <c r="B196" s="28">
        <f t="shared" ref="B196:M196" si="87">B32/2.7</f>
        <v>0</v>
      </c>
      <c r="C196" s="28">
        <f t="shared" si="87"/>
        <v>0</v>
      </c>
      <c r="D196" s="28">
        <f t="shared" si="87"/>
        <v>0</v>
      </c>
      <c r="E196" s="28">
        <f t="shared" si="87"/>
        <v>0</v>
      </c>
      <c r="F196" s="28">
        <f t="shared" si="87"/>
        <v>0</v>
      </c>
      <c r="G196" s="28">
        <f t="shared" si="87"/>
        <v>0</v>
      </c>
      <c r="H196" s="28">
        <f t="shared" si="87"/>
        <v>0</v>
      </c>
      <c r="I196" s="28">
        <f t="shared" si="87"/>
        <v>0</v>
      </c>
      <c r="J196" s="28">
        <f t="shared" si="87"/>
        <v>0</v>
      </c>
      <c r="K196" s="28">
        <f t="shared" si="87"/>
        <v>0</v>
      </c>
      <c r="L196" s="28">
        <f t="shared" si="87"/>
        <v>0</v>
      </c>
      <c r="M196" s="28">
        <f t="shared" si="87"/>
        <v>0</v>
      </c>
    </row>
    <row r="197" spans="1:13" ht="14.25">
      <c r="A197" s="47" t="s">
        <v>29</v>
      </c>
      <c r="B197" s="28">
        <f t="shared" ref="B197:M197" si="88">B33/2.7</f>
        <v>0</v>
      </c>
      <c r="C197" s="28">
        <f t="shared" si="88"/>
        <v>0</v>
      </c>
      <c r="D197" s="28">
        <f t="shared" si="88"/>
        <v>0</v>
      </c>
      <c r="E197" s="28">
        <f t="shared" si="88"/>
        <v>0</v>
      </c>
      <c r="F197" s="28">
        <f t="shared" si="88"/>
        <v>0</v>
      </c>
      <c r="G197" s="28">
        <f t="shared" si="88"/>
        <v>0</v>
      </c>
      <c r="H197" s="28">
        <f t="shared" si="88"/>
        <v>0</v>
      </c>
      <c r="I197" s="28">
        <f t="shared" si="88"/>
        <v>0</v>
      </c>
      <c r="J197" s="28">
        <f t="shared" si="88"/>
        <v>0</v>
      </c>
      <c r="K197" s="28">
        <f t="shared" si="88"/>
        <v>0</v>
      </c>
      <c r="L197" s="28">
        <f t="shared" si="88"/>
        <v>0</v>
      </c>
      <c r="M197" s="28">
        <f t="shared" si="88"/>
        <v>0</v>
      </c>
    </row>
    <row r="198" spans="1:13">
      <c r="A198" s="47" t="s">
        <v>30</v>
      </c>
      <c r="B198" s="28">
        <f t="shared" ref="B198:M198" si="89">B34/2.7</f>
        <v>2.5149729954978874</v>
      </c>
      <c r="C198" s="28">
        <f t="shared" si="89"/>
        <v>2.8758063199150818</v>
      </c>
      <c r="D198" s="28">
        <f t="shared" si="89"/>
        <v>3.078330999179022</v>
      </c>
      <c r="E198" s="28">
        <f t="shared" si="89"/>
        <v>3.1591543677702432</v>
      </c>
      <c r="F198" s="28">
        <f t="shared" si="89"/>
        <v>4.1692805536420865</v>
      </c>
      <c r="G198" s="28">
        <f t="shared" si="89"/>
        <v>4.8945737590964251</v>
      </c>
      <c r="H198" s="28">
        <f t="shared" si="89"/>
        <v>5.1457113196090338</v>
      </c>
      <c r="I198" s="28">
        <f t="shared" si="89"/>
        <v>5.3540595257487258</v>
      </c>
      <c r="J198" s="28">
        <f t="shared" si="89"/>
        <v>5.2706924384191636</v>
      </c>
      <c r="K198" s="28">
        <f t="shared" si="89"/>
        <v>5.2831532708061273</v>
      </c>
      <c r="L198" s="28">
        <f t="shared" si="89"/>
        <v>5.6175260383181174</v>
      </c>
      <c r="M198" s="28">
        <f t="shared" si="89"/>
        <v>6.4950369705145796</v>
      </c>
    </row>
    <row r="199" spans="1:13">
      <c r="A199" s="47" t="s">
        <v>31</v>
      </c>
      <c r="B199" s="28">
        <f t="shared" ref="B199:M199" si="90">B35/2.7</f>
        <v>2.5345829213887092</v>
      </c>
      <c r="C199" s="28">
        <f t="shared" si="90"/>
        <v>2.710704662366294</v>
      </c>
      <c r="D199" s="28">
        <f t="shared" si="90"/>
        <v>2.8816342299705422</v>
      </c>
      <c r="E199" s="28">
        <f t="shared" si="90"/>
        <v>2.8922652935417199</v>
      </c>
      <c r="F199" s="28">
        <f t="shared" si="90"/>
        <v>3.9548884225365644</v>
      </c>
      <c r="G199" s="28">
        <f t="shared" si="90"/>
        <v>7.1066986604250033</v>
      </c>
      <c r="H199" s="28">
        <f t="shared" si="90"/>
        <v>7.6546334201711961</v>
      </c>
      <c r="I199" s="28">
        <f t="shared" si="90"/>
        <v>8.3615293323714877</v>
      </c>
      <c r="J199" s="28">
        <f t="shared" si="90"/>
        <v>7.940414758496277</v>
      </c>
      <c r="K199" s="28">
        <f t="shared" si="90"/>
        <v>9.0761011516086931</v>
      </c>
      <c r="L199" s="28">
        <f t="shared" si="90"/>
        <v>9.0917127427028408</v>
      </c>
      <c r="M199" s="28">
        <f t="shared" si="90"/>
        <v>11.697684447064315</v>
      </c>
    </row>
    <row r="200" spans="1:13" ht="14.25">
      <c r="A200" s="47" t="s">
        <v>32</v>
      </c>
      <c r="B200" s="28">
        <f t="shared" ref="B200:M200" si="91">B36/2.7</f>
        <v>5.2500674091202493</v>
      </c>
      <c r="C200" s="28">
        <f t="shared" si="91"/>
        <v>5.2499387605127792</v>
      </c>
      <c r="D200" s="28">
        <f t="shared" si="91"/>
        <v>4.9902448447384948</v>
      </c>
      <c r="E200" s="28">
        <f t="shared" si="91"/>
        <v>2.3986172051588888</v>
      </c>
      <c r="F200" s="28">
        <f t="shared" si="91"/>
        <v>4.8059208945420755E-7</v>
      </c>
      <c r="G200" s="28">
        <f t="shared" si="91"/>
        <v>8.0275533807479782</v>
      </c>
      <c r="H200" s="28">
        <f t="shared" si="91"/>
        <v>9.3013926703621745</v>
      </c>
      <c r="I200" s="28">
        <f t="shared" si="91"/>
        <v>10.141251483489633</v>
      </c>
      <c r="J200" s="28">
        <f t="shared" si="91"/>
        <v>9.3804946597036984</v>
      </c>
      <c r="K200" s="28">
        <f t="shared" si="91"/>
        <v>11.35937314496023</v>
      </c>
      <c r="L200" s="28">
        <f t="shared" si="91"/>
        <v>13.243860100295741</v>
      </c>
      <c r="M200" s="28">
        <f t="shared" si="91"/>
        <v>13.962724859456655</v>
      </c>
    </row>
    <row r="201" spans="1:13">
      <c r="A201" s="47" t="s">
        <v>33</v>
      </c>
      <c r="B201" s="28">
        <f t="shared" ref="B201:M201" si="92">B37/2.7</f>
        <v>2.0011929371583581</v>
      </c>
      <c r="C201" s="28">
        <f t="shared" si="92"/>
        <v>1.3021964562750064</v>
      </c>
      <c r="D201" s="28">
        <f t="shared" si="92"/>
        <v>1.0122180905007969</v>
      </c>
      <c r="E201" s="28">
        <f t="shared" si="92"/>
        <v>1.3832783358112437</v>
      </c>
      <c r="F201" s="28">
        <f t="shared" si="92"/>
        <v>1.3696874549444915</v>
      </c>
      <c r="G201" s="28">
        <f t="shared" si="92"/>
        <v>0.62348556550015133</v>
      </c>
      <c r="H201" s="28">
        <f t="shared" si="92"/>
        <v>2.2475466671890003</v>
      </c>
      <c r="I201" s="28">
        <f t="shared" si="92"/>
        <v>2.8338724315267725</v>
      </c>
      <c r="J201" s="28">
        <f t="shared" si="92"/>
        <v>3.4041630696928991</v>
      </c>
      <c r="K201" s="28">
        <f t="shared" si="92"/>
        <v>2.6209189125014847</v>
      </c>
      <c r="L201" s="28">
        <f t="shared" si="92"/>
        <v>3.2388774591744887</v>
      </c>
      <c r="M201" s="28">
        <f t="shared" si="92"/>
        <v>5.5269435729856111</v>
      </c>
    </row>
    <row r="202" spans="1:13">
      <c r="A202" s="47" t="s">
        <v>34</v>
      </c>
      <c r="B202" s="28">
        <f t="shared" ref="B202:M202" si="93">B38/2.7</f>
        <v>1.0893313832351474</v>
      </c>
      <c r="C202" s="28">
        <f t="shared" si="93"/>
        <v>1.0993712745978608</v>
      </c>
      <c r="D202" s="28">
        <f t="shared" si="93"/>
        <v>1.1638576326845997</v>
      </c>
      <c r="E202" s="28">
        <f t="shared" si="93"/>
        <v>1.4089035548947795</v>
      </c>
      <c r="F202" s="28">
        <f t="shared" si="93"/>
        <v>1.3552696922608654</v>
      </c>
      <c r="G202" s="28">
        <f t="shared" si="93"/>
        <v>2.763035427458342</v>
      </c>
      <c r="H202" s="28">
        <f t="shared" si="93"/>
        <v>4.0390966250759019</v>
      </c>
      <c r="I202" s="28">
        <f t="shared" si="93"/>
        <v>3.5692178809950432</v>
      </c>
      <c r="J202" s="28">
        <f t="shared" si="93"/>
        <v>3.1082498770899547</v>
      </c>
      <c r="K202" s="28">
        <f t="shared" si="93"/>
        <v>4.252641576635404</v>
      </c>
      <c r="L202" s="28">
        <f t="shared" si="93"/>
        <v>4.5538125241095528</v>
      </c>
      <c r="M202" s="28">
        <f t="shared" si="93"/>
        <v>5.4372173802958423</v>
      </c>
    </row>
    <row r="203" spans="1:13" ht="14.25">
      <c r="A203" s="44" t="s">
        <v>35</v>
      </c>
      <c r="B203" s="26">
        <f t="shared" ref="B203:M203" si="94">B39/2.7</f>
        <v>58.312565877094784</v>
      </c>
      <c r="C203" s="26">
        <f t="shared" si="94"/>
        <v>44.836123132195645</v>
      </c>
      <c r="D203" s="26">
        <f t="shared" si="94"/>
        <v>42.612643067561699</v>
      </c>
      <c r="E203" s="26">
        <f t="shared" si="94"/>
        <v>90.964209304855501</v>
      </c>
      <c r="F203" s="26">
        <f t="shared" si="94"/>
        <v>122.91863575925539</v>
      </c>
      <c r="G203" s="26">
        <f t="shared" si="94"/>
        <v>112.68170268582627</v>
      </c>
      <c r="H203" s="26">
        <f t="shared" si="94"/>
        <v>86.987248545629058</v>
      </c>
      <c r="I203" s="26">
        <f t="shared" si="94"/>
        <v>67.914271752030345</v>
      </c>
      <c r="J203" s="26">
        <f t="shared" si="94"/>
        <v>42.142126595411092</v>
      </c>
      <c r="K203" s="26">
        <f t="shared" si="94"/>
        <v>54.809070402469445</v>
      </c>
      <c r="L203" s="26">
        <f t="shared" si="94"/>
        <v>47.131766748103381</v>
      </c>
      <c r="M203" s="26">
        <f t="shared" si="94"/>
        <v>73.549509631323446</v>
      </c>
    </row>
    <row r="204" spans="1:13" ht="14.25">
      <c r="A204" s="29" t="s">
        <v>36</v>
      </c>
      <c r="B204" s="26">
        <f t="shared" ref="B204:M204" si="95">B40/2.7</f>
        <v>0</v>
      </c>
      <c r="C204" s="26">
        <f t="shared" si="95"/>
        <v>4.0824691761247651</v>
      </c>
      <c r="D204" s="26">
        <f t="shared" si="95"/>
        <v>4.89882648379775</v>
      </c>
      <c r="E204" s="26">
        <f t="shared" si="95"/>
        <v>0</v>
      </c>
      <c r="F204" s="26">
        <f t="shared" si="95"/>
        <v>0</v>
      </c>
      <c r="G204" s="26">
        <f t="shared" si="95"/>
        <v>0</v>
      </c>
      <c r="H204" s="26">
        <f t="shared" si="95"/>
        <v>0</v>
      </c>
      <c r="I204" s="26">
        <f t="shared" si="95"/>
        <v>0</v>
      </c>
      <c r="J204" s="26">
        <f t="shared" si="95"/>
        <v>0</v>
      </c>
      <c r="K204" s="26">
        <f t="shared" si="95"/>
        <v>1.9267244449721008</v>
      </c>
      <c r="L204" s="26">
        <f t="shared" si="95"/>
        <v>4.1772212935579267</v>
      </c>
      <c r="M204" s="26">
        <f t="shared" si="95"/>
        <v>7.5503404294039216</v>
      </c>
    </row>
    <row r="205" spans="1:13" ht="14.25">
      <c r="A205" s="29" t="s">
        <v>37</v>
      </c>
      <c r="B205" s="26">
        <f t="shared" ref="B205:M205" si="96">B41/2.7</f>
        <v>0</v>
      </c>
      <c r="C205" s="26">
        <f t="shared" si="96"/>
        <v>0</v>
      </c>
      <c r="D205" s="26">
        <f t="shared" si="96"/>
        <v>0</v>
      </c>
      <c r="E205" s="26">
        <f t="shared" si="96"/>
        <v>0</v>
      </c>
      <c r="F205" s="26">
        <f t="shared" si="96"/>
        <v>0</v>
      </c>
      <c r="G205" s="26">
        <f t="shared" si="96"/>
        <v>0</v>
      </c>
      <c r="H205" s="26">
        <f t="shared" si="96"/>
        <v>0</v>
      </c>
      <c r="I205" s="26">
        <f t="shared" si="96"/>
        <v>0</v>
      </c>
      <c r="J205" s="26">
        <f t="shared" si="96"/>
        <v>0</v>
      </c>
      <c r="K205" s="26">
        <f t="shared" si="96"/>
        <v>0</v>
      </c>
      <c r="L205" s="26">
        <f t="shared" si="96"/>
        <v>609.88395268098236</v>
      </c>
      <c r="M205" s="26">
        <f t="shared" si="96"/>
        <v>989.46536956667933</v>
      </c>
    </row>
    <row r="206" spans="1:13" ht="14.25">
      <c r="A206" s="29" t="s">
        <v>38</v>
      </c>
      <c r="B206" s="26">
        <f t="shared" ref="B206:M206" si="97">B42/2.7</f>
        <v>0</v>
      </c>
      <c r="C206" s="26">
        <f t="shared" si="97"/>
        <v>0</v>
      </c>
      <c r="D206" s="26">
        <f t="shared" si="97"/>
        <v>0</v>
      </c>
      <c r="E206" s="26">
        <f t="shared" si="97"/>
        <v>0</v>
      </c>
      <c r="F206" s="26">
        <f t="shared" si="97"/>
        <v>0</v>
      </c>
      <c r="G206" s="26">
        <f t="shared" si="97"/>
        <v>0</v>
      </c>
      <c r="H206" s="26">
        <f t="shared" si="97"/>
        <v>0</v>
      </c>
      <c r="I206" s="26">
        <f t="shared" si="97"/>
        <v>0</v>
      </c>
      <c r="J206" s="26">
        <f t="shared" si="97"/>
        <v>0</v>
      </c>
      <c r="K206" s="26">
        <f t="shared" si="97"/>
        <v>0</v>
      </c>
      <c r="L206" s="26">
        <f t="shared" si="97"/>
        <v>0</v>
      </c>
      <c r="M206" s="26">
        <f t="shared" si="97"/>
        <v>27.466279488386629</v>
      </c>
    </row>
    <row r="207" spans="1:13">
      <c r="A207" s="30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</row>
    <row r="208" spans="1:13">
      <c r="A208" s="11" t="s">
        <v>39</v>
      </c>
      <c r="B208" s="31">
        <f t="shared" ref="B208:M208" si="98">B44/2.7</f>
        <v>4.0822963223218149</v>
      </c>
      <c r="C208" s="31">
        <f t="shared" si="98"/>
        <v>4.2759859557442637</v>
      </c>
      <c r="D208" s="31">
        <f t="shared" si="98"/>
        <v>14.974646254889654</v>
      </c>
      <c r="E208" s="31">
        <f t="shared" si="98"/>
        <v>12.987151128355753</v>
      </c>
      <c r="F208" s="31">
        <f t="shared" si="98"/>
        <v>11.867260464892746</v>
      </c>
      <c r="G208" s="31">
        <f t="shared" si="98"/>
        <v>8.0115303201077626E-2</v>
      </c>
      <c r="H208" s="31">
        <f t="shared" si="98"/>
        <v>1.7863788611834762E-2</v>
      </c>
      <c r="I208" s="31">
        <f t="shared" si="98"/>
        <v>4.4679217182882272E-2</v>
      </c>
      <c r="J208" s="31">
        <f t="shared" si="98"/>
        <v>9.2908380723059469E-3</v>
      </c>
      <c r="K208" s="31">
        <f t="shared" si="98"/>
        <v>3.6566543986703087E-2</v>
      </c>
      <c r="L208" s="31">
        <f t="shared" si="98"/>
        <v>9.3545068792593528E-2</v>
      </c>
      <c r="M208" s="31">
        <f t="shared" si="98"/>
        <v>0.12628130823004402</v>
      </c>
    </row>
    <row r="209" spans="1:13">
      <c r="A209" s="1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</row>
    <row r="210" spans="1:13">
      <c r="A210" s="11" t="s">
        <v>40</v>
      </c>
      <c r="B210" s="31">
        <f t="shared" ref="B210:M210" si="99">B46/2.7</f>
        <v>62.147777133192236</v>
      </c>
      <c r="C210" s="31">
        <f t="shared" si="99"/>
        <v>38.208099942843148</v>
      </c>
      <c r="D210" s="31">
        <f t="shared" si="99"/>
        <v>5.2648862703433634</v>
      </c>
      <c r="E210" s="31">
        <f t="shared" si="99"/>
        <v>22.177128283231195</v>
      </c>
      <c r="F210" s="31">
        <f t="shared" si="99"/>
        <v>25.989459013504639</v>
      </c>
      <c r="G210" s="31">
        <f t="shared" si="99"/>
        <v>57.408741207934554</v>
      </c>
      <c r="H210" s="31">
        <f t="shared" si="99"/>
        <v>50.627857324740965</v>
      </c>
      <c r="I210" s="31">
        <f t="shared" si="99"/>
        <v>55.547436762618389</v>
      </c>
      <c r="J210" s="31">
        <f t="shared" si="99"/>
        <v>35.211347210232312</v>
      </c>
      <c r="K210" s="31">
        <f t="shared" si="99"/>
        <v>25.569512050338364</v>
      </c>
      <c r="L210" s="31">
        <f t="shared" si="99"/>
        <v>39.033464060691784</v>
      </c>
      <c r="M210" s="31">
        <f t="shared" si="99"/>
        <v>15.544944198062261</v>
      </c>
    </row>
    <row r="211" spans="1:13">
      <c r="A211" s="30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</row>
    <row r="212" spans="1:13">
      <c r="A212" s="9" t="s">
        <v>41</v>
      </c>
      <c r="B212" s="10">
        <f t="shared" ref="B212:M212" si="100">B48/2.7</f>
        <v>840.07157622950149</v>
      </c>
      <c r="C212" s="10">
        <f t="shared" si="100"/>
        <v>843.62684739119777</v>
      </c>
      <c r="D212" s="10">
        <f t="shared" si="100"/>
        <v>892.68001159028358</v>
      </c>
      <c r="E212" s="10">
        <f t="shared" si="100"/>
        <v>862.08337866096144</v>
      </c>
      <c r="F212" s="10">
        <f t="shared" si="100"/>
        <v>1041.7789917177963</v>
      </c>
      <c r="G212" s="10">
        <f t="shared" si="100"/>
        <v>1131.1260048776085</v>
      </c>
      <c r="H212" s="10">
        <f t="shared" si="100"/>
        <v>1197.0226235480777</v>
      </c>
      <c r="I212" s="10">
        <f t="shared" si="100"/>
        <v>1314.5751983803782</v>
      </c>
      <c r="J212" s="10">
        <f t="shared" si="100"/>
        <v>1511.951037283359</v>
      </c>
      <c r="K212" s="10">
        <f t="shared" si="100"/>
        <v>1839.123970081919</v>
      </c>
      <c r="L212" s="10">
        <f t="shared" si="100"/>
        <v>2859.8597949080622</v>
      </c>
      <c r="M212" s="10">
        <f t="shared" si="100"/>
        <v>3817.6301682563917</v>
      </c>
    </row>
    <row r="213" spans="1:13">
      <c r="A213" s="11" t="s">
        <v>42</v>
      </c>
      <c r="B213" s="12">
        <f t="shared" ref="B213:M213" si="101">B49/2.7</f>
        <v>563.36669744335586</v>
      </c>
      <c r="C213" s="12">
        <f t="shared" si="101"/>
        <v>597.96097003347768</v>
      </c>
      <c r="D213" s="10">
        <f t="shared" si="101"/>
        <v>646.32032645965137</v>
      </c>
      <c r="E213" s="10">
        <f t="shared" si="101"/>
        <v>713.82021249592049</v>
      </c>
      <c r="F213" s="10">
        <f t="shared" si="101"/>
        <v>817.73613892315325</v>
      </c>
      <c r="G213" s="10">
        <f t="shared" si="101"/>
        <v>854.87760031103596</v>
      </c>
      <c r="H213" s="10">
        <f t="shared" si="101"/>
        <v>938.37658903492468</v>
      </c>
      <c r="I213" s="10">
        <f t="shared" si="101"/>
        <v>1006.1843483117304</v>
      </c>
      <c r="J213" s="10">
        <f t="shared" si="101"/>
        <v>1158.3663609722862</v>
      </c>
      <c r="K213" s="10">
        <f t="shared" si="101"/>
        <v>1343.4042502671259</v>
      </c>
      <c r="L213" s="10">
        <f t="shared" si="101"/>
        <v>1615.3885174231709</v>
      </c>
      <c r="M213" s="10">
        <f t="shared" si="101"/>
        <v>1815.0773235642025</v>
      </c>
    </row>
    <row r="214" spans="1:13">
      <c r="A214" s="33" t="s">
        <v>43</v>
      </c>
      <c r="B214" s="24">
        <f t="shared" ref="B214:M214" si="102">B50/2.7</f>
        <v>170.57645011316561</v>
      </c>
      <c r="C214" s="24">
        <f t="shared" si="102"/>
        <v>188.56372989303506</v>
      </c>
      <c r="D214" s="24">
        <f t="shared" si="102"/>
        <v>204.30588689815042</v>
      </c>
      <c r="E214" s="24">
        <f t="shared" si="102"/>
        <v>215.93704899010044</v>
      </c>
      <c r="F214" s="24">
        <f t="shared" si="102"/>
        <v>237.22270637425308</v>
      </c>
      <c r="G214" s="24">
        <f t="shared" si="102"/>
        <v>256.5771757784733</v>
      </c>
      <c r="H214" s="24">
        <f t="shared" si="102"/>
        <v>279.48372083912801</v>
      </c>
      <c r="I214" s="24">
        <f t="shared" si="102"/>
        <v>319.04172387312963</v>
      </c>
      <c r="J214" s="24">
        <f t="shared" si="102"/>
        <v>333.78357766947067</v>
      </c>
      <c r="K214" s="24">
        <f t="shared" si="102"/>
        <v>369.5209307847561</v>
      </c>
      <c r="L214" s="24">
        <f t="shared" si="102"/>
        <v>423.17286550083583</v>
      </c>
      <c r="M214" s="24">
        <f t="shared" si="102"/>
        <v>498.18593261040706</v>
      </c>
    </row>
    <row r="215" spans="1:13">
      <c r="A215" s="33" t="s">
        <v>44</v>
      </c>
      <c r="B215" s="20" t="s">
        <v>45</v>
      </c>
      <c r="C215" s="20" t="s">
        <v>45</v>
      </c>
      <c r="D215" s="20" t="s">
        <v>45</v>
      </c>
      <c r="E215" s="20" t="s">
        <v>45</v>
      </c>
      <c r="F215" s="20" t="s">
        <v>45</v>
      </c>
      <c r="G215" s="20" t="s">
        <v>45</v>
      </c>
      <c r="H215" s="20" t="s">
        <v>45</v>
      </c>
      <c r="I215" s="20" t="s">
        <v>45</v>
      </c>
      <c r="J215" s="20" t="s">
        <v>45</v>
      </c>
      <c r="K215" s="20" t="s">
        <v>45</v>
      </c>
      <c r="L215" s="20" t="s">
        <v>45</v>
      </c>
      <c r="M215" s="20" t="s">
        <v>45</v>
      </c>
    </row>
    <row r="216" spans="1:13">
      <c r="A216" s="33" t="s">
        <v>46</v>
      </c>
      <c r="B216" s="20" t="s">
        <v>45</v>
      </c>
      <c r="C216" s="20" t="s">
        <v>45</v>
      </c>
      <c r="D216" s="20" t="s">
        <v>45</v>
      </c>
      <c r="E216" s="20" t="s">
        <v>45</v>
      </c>
      <c r="F216" s="20" t="s">
        <v>45</v>
      </c>
      <c r="G216" s="20" t="s">
        <v>45</v>
      </c>
      <c r="H216" s="20" t="s">
        <v>45</v>
      </c>
      <c r="I216" s="20" t="s">
        <v>45</v>
      </c>
      <c r="J216" s="20" t="s">
        <v>45</v>
      </c>
      <c r="K216" s="20" t="s">
        <v>45</v>
      </c>
      <c r="L216" s="20" t="s">
        <v>45</v>
      </c>
      <c r="M216" s="20" t="s">
        <v>45</v>
      </c>
    </row>
    <row r="217" spans="1:13" ht="14.25">
      <c r="A217" s="33" t="s">
        <v>47</v>
      </c>
      <c r="B217" s="17">
        <f t="shared" ref="B217:M217" si="103">B53/2.7</f>
        <v>32.04016766486636</v>
      </c>
      <c r="C217" s="17">
        <f t="shared" si="103"/>
        <v>29.915734465583412</v>
      </c>
      <c r="D217" s="17">
        <f t="shared" si="103"/>
        <v>30.61525088134448</v>
      </c>
      <c r="E217" s="17">
        <f t="shared" si="103"/>
        <v>31.357048748353098</v>
      </c>
      <c r="F217" s="17">
        <f t="shared" si="103"/>
        <v>32.328468673405638</v>
      </c>
      <c r="G217" s="17">
        <f t="shared" si="103"/>
        <v>37.827147306122932</v>
      </c>
      <c r="H217" s="17">
        <f t="shared" si="103"/>
        <v>40.008775194405828</v>
      </c>
      <c r="I217" s="17">
        <f t="shared" si="103"/>
        <v>39.609522258162102</v>
      </c>
      <c r="J217" s="17">
        <f t="shared" si="103"/>
        <v>36.055884391004923</v>
      </c>
      <c r="K217" s="17">
        <f t="shared" si="103"/>
        <v>37.590882108512417</v>
      </c>
      <c r="L217" s="17">
        <f t="shared" si="103"/>
        <v>43.196123183746941</v>
      </c>
      <c r="M217" s="17">
        <f t="shared" si="103"/>
        <v>58.582183732973576</v>
      </c>
    </row>
    <row r="218" spans="1:13">
      <c r="A218" s="33" t="s">
        <v>48</v>
      </c>
      <c r="B218" s="17">
        <f t="shared" ref="B218:M218" si="104">B54/2.7</f>
        <v>0</v>
      </c>
      <c r="C218" s="17">
        <f t="shared" si="104"/>
        <v>0</v>
      </c>
      <c r="D218" s="17">
        <f t="shared" si="104"/>
        <v>0</v>
      </c>
      <c r="E218" s="17">
        <f t="shared" si="104"/>
        <v>0</v>
      </c>
      <c r="F218" s="17">
        <f t="shared" si="104"/>
        <v>0</v>
      </c>
      <c r="G218" s="17">
        <f t="shared" si="104"/>
        <v>0</v>
      </c>
      <c r="H218" s="17">
        <f t="shared" si="104"/>
        <v>0</v>
      </c>
      <c r="I218" s="17">
        <f t="shared" si="104"/>
        <v>0</v>
      </c>
      <c r="J218" s="17">
        <f t="shared" si="104"/>
        <v>0</v>
      </c>
      <c r="K218" s="17">
        <f t="shared" si="104"/>
        <v>0</v>
      </c>
      <c r="L218" s="17">
        <f t="shared" si="104"/>
        <v>0</v>
      </c>
      <c r="M218" s="17">
        <f t="shared" si="104"/>
        <v>0</v>
      </c>
    </row>
    <row r="219" spans="1:13">
      <c r="A219" s="30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</row>
    <row r="220" spans="1:13">
      <c r="A220" s="11" t="s">
        <v>49</v>
      </c>
      <c r="B220" s="31">
        <f t="shared" ref="B220:M220" si="105">B56/2.7</f>
        <v>276.70487878614557</v>
      </c>
      <c r="C220" s="31">
        <f t="shared" si="105"/>
        <v>245.66587735772029</v>
      </c>
      <c r="D220" s="31">
        <f t="shared" si="105"/>
        <v>246.35968513063216</v>
      </c>
      <c r="E220" s="31">
        <f t="shared" si="105"/>
        <v>148.26316616504093</v>
      </c>
      <c r="F220" s="31">
        <f t="shared" si="105"/>
        <v>224.04285279464298</v>
      </c>
      <c r="G220" s="31">
        <f t="shared" si="105"/>
        <v>276.24840456657228</v>
      </c>
      <c r="H220" s="31">
        <f t="shared" si="105"/>
        <v>258.64603451315304</v>
      </c>
      <c r="I220" s="31">
        <f t="shared" si="105"/>
        <v>308.39085006864769</v>
      </c>
      <c r="J220" s="31">
        <f t="shared" si="105"/>
        <v>353.58467631107277</v>
      </c>
      <c r="K220" s="31">
        <f t="shared" si="105"/>
        <v>495.71971981479294</v>
      </c>
      <c r="L220" s="31">
        <f t="shared" si="105"/>
        <v>1244.4712774848913</v>
      </c>
      <c r="M220" s="31">
        <f t="shared" si="105"/>
        <v>2002.5528446921892</v>
      </c>
    </row>
    <row r="221" spans="1:13">
      <c r="A221" s="8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</row>
    <row r="222" spans="1:13" ht="18" customHeight="1">
      <c r="A222" s="34" t="s">
        <v>50</v>
      </c>
      <c r="B222" s="35">
        <f t="shared" ref="B222:H222" si="106">B175-B213</f>
        <v>75.075718826346019</v>
      </c>
      <c r="C222" s="35">
        <f t="shared" si="106"/>
        <v>70.74899975504195</v>
      </c>
      <c r="D222" s="35">
        <f t="shared" si="106"/>
        <v>57.440575650746155</v>
      </c>
      <c r="E222" s="35">
        <f t="shared" si="106"/>
        <v>68.03993666219435</v>
      </c>
      <c r="F222" s="35">
        <f t="shared" si="106"/>
        <v>34.459510597055669</v>
      </c>
      <c r="G222" s="35">
        <f t="shared" si="106"/>
        <v>64.376416253981233</v>
      </c>
      <c r="H222" s="35">
        <f t="shared" si="106"/>
        <v>81.816668951873453</v>
      </c>
      <c r="I222" s="35">
        <f>I175-I213</f>
        <v>113.52030344635023</v>
      </c>
      <c r="J222" s="35">
        <f>J175-J213</f>
        <v>-101.98952458007352</v>
      </c>
      <c r="K222" s="35">
        <f>K175-K213</f>
        <v>-75.292651074438936</v>
      </c>
      <c r="L222" s="35">
        <f>L175-L213</f>
        <v>455.42614440015404</v>
      </c>
      <c r="M222" s="35">
        <f>M175-M213</f>
        <v>1023.4285849926216</v>
      </c>
    </row>
    <row r="223" spans="1:13" ht="18" customHeight="1">
      <c r="A223" s="34" t="s">
        <v>51</v>
      </c>
      <c r="B223" s="35">
        <f t="shared" ref="B223:H223" si="107">B174-(B212-B217)</f>
        <v>-103.35891883941929</v>
      </c>
      <c r="C223" s="35">
        <f t="shared" si="107"/>
        <v>-102.51705723850739</v>
      </c>
      <c r="D223" s="35">
        <f t="shared" si="107"/>
        <v>-138.06432607330851</v>
      </c>
      <c r="E223" s="35">
        <f t="shared" si="107"/>
        <v>-13.701901342906581</v>
      </c>
      <c r="F223" s="35">
        <f t="shared" si="107"/>
        <v>-119.39815404578462</v>
      </c>
      <c r="G223" s="35">
        <f t="shared" si="107"/>
        <v>-116.55598449533295</v>
      </c>
      <c r="H223" s="35">
        <f t="shared" si="107"/>
        <v>-86.17486925352091</v>
      </c>
      <c r="I223" s="35">
        <f>I174-(I212-I217)</f>
        <v>-99.668908384334145</v>
      </c>
      <c r="J223" s="35">
        <f>J174-(J212-J217)</f>
        <v>-384.2976784518371</v>
      </c>
      <c r="K223" s="35">
        <f>K174-(K212-K217)</f>
        <v>-507.8154101863945</v>
      </c>
      <c r="L223" s="35">
        <f>L174-(L212-L217)</f>
        <v>-706.72200077150592</v>
      </c>
      <c r="M223" s="35">
        <f>M174-(M212-M217)</f>
        <v>-904.87085046030188</v>
      </c>
    </row>
    <row r="224" spans="1:13" ht="18" customHeight="1">
      <c r="A224" s="34" t="s">
        <v>52</v>
      </c>
      <c r="B224" s="36">
        <f t="shared" ref="B224:H224" si="108">B174-B212</f>
        <v>-135.39908650428561</v>
      </c>
      <c r="C224" s="36">
        <f t="shared" si="108"/>
        <v>-132.43279170409085</v>
      </c>
      <c r="D224" s="36">
        <f t="shared" si="108"/>
        <v>-168.67957695465304</v>
      </c>
      <c r="E224" s="36">
        <f t="shared" si="108"/>
        <v>-45.058950091259703</v>
      </c>
      <c r="F224" s="36">
        <f t="shared" si="108"/>
        <v>-151.72662271919023</v>
      </c>
      <c r="G224" s="36">
        <f t="shared" si="108"/>
        <v>-154.38313180145587</v>
      </c>
      <c r="H224" s="36">
        <f t="shared" si="108"/>
        <v>-126.18364444792678</v>
      </c>
      <c r="I224" s="36">
        <f>I174-I212</f>
        <v>-139.27843064249623</v>
      </c>
      <c r="J224" s="36">
        <f>J174-J212</f>
        <v>-420.35356284284194</v>
      </c>
      <c r="K224" s="36">
        <f>K174-K212</f>
        <v>-545.40629229490696</v>
      </c>
      <c r="L224" s="36">
        <f>L174-L212</f>
        <v>-749.91812395525267</v>
      </c>
      <c r="M224" s="36">
        <f>M174-M212</f>
        <v>-963.45303419327547</v>
      </c>
    </row>
    <row r="225" spans="1:13">
      <c r="A225" s="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</row>
    <row r="226" spans="1:13">
      <c r="A226" s="9" t="s">
        <v>53</v>
      </c>
      <c r="B226" s="12">
        <f t="shared" ref="B226:M226" si="109">SUM(B228,B229,B233)</f>
        <v>135.39918455391501</v>
      </c>
      <c r="C226" s="12">
        <f t="shared" si="109"/>
        <v>132.43308565362949</v>
      </c>
      <c r="D226" s="12">
        <f t="shared" si="109"/>
        <v>168.67904573332692</v>
      </c>
      <c r="E226" s="12">
        <f t="shared" si="109"/>
        <v>45.058805042849713</v>
      </c>
      <c r="F226" s="12">
        <f t="shared" si="109"/>
        <v>151.72604648927478</v>
      </c>
      <c r="G226" s="12">
        <f t="shared" si="109"/>
        <v>154.38284904156177</v>
      </c>
      <c r="H226" s="12">
        <f t="shared" si="109"/>
        <v>126.18397351771691</v>
      </c>
      <c r="I226" s="12">
        <f t="shared" si="109"/>
        <v>139.2788029693063</v>
      </c>
      <c r="J226" s="12">
        <f t="shared" si="109"/>
        <v>420.35374865960307</v>
      </c>
      <c r="K226" s="12">
        <f t="shared" si="109"/>
        <v>545.40614982785269</v>
      </c>
      <c r="L226" s="12">
        <f t="shared" si="109"/>
        <v>749.91802751703744</v>
      </c>
      <c r="M226" s="12">
        <f t="shared" si="109"/>
        <v>963.45327156415533</v>
      </c>
    </row>
    <row r="227" spans="1:13">
      <c r="A227" s="8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</row>
    <row r="228" spans="1:13">
      <c r="A228" s="37" t="s">
        <v>54</v>
      </c>
      <c r="B228" s="26">
        <f t="shared" ref="B228:M228" si="110">B64/2.7</f>
        <v>108.07128208061313</v>
      </c>
      <c r="C228" s="26">
        <f t="shared" si="110"/>
        <v>90.855883073405749</v>
      </c>
      <c r="D228" s="26">
        <f t="shared" si="110"/>
        <v>-66.419085333462135</v>
      </c>
      <c r="E228" s="26">
        <f t="shared" si="110"/>
        <v>-25.455028949245143</v>
      </c>
      <c r="F228" s="26">
        <f t="shared" si="110"/>
        <v>37.663040866347337</v>
      </c>
      <c r="G228" s="26">
        <f t="shared" si="110"/>
        <v>41.189021061684855</v>
      </c>
      <c r="H228" s="26">
        <f t="shared" si="110"/>
        <v>25.863146142244339</v>
      </c>
      <c r="I228" s="26">
        <f t="shared" si="110"/>
        <v>51.02957671095804</v>
      </c>
      <c r="J228" s="26">
        <f t="shared" si="110"/>
        <v>10.790379337176127</v>
      </c>
      <c r="K228" s="26">
        <f t="shared" si="110"/>
        <v>55.484744152914658</v>
      </c>
      <c r="L228" s="26">
        <f t="shared" si="110"/>
        <v>150.73727015558697</v>
      </c>
      <c r="M228" s="26">
        <f t="shared" si="110"/>
        <v>228.07781017450711</v>
      </c>
    </row>
    <row r="229" spans="1:13">
      <c r="A229" s="9" t="s">
        <v>55</v>
      </c>
      <c r="B229" s="10">
        <f t="shared" ref="B229:M229" si="111">SUM(B230:B231)</f>
        <v>-72.271891622476232</v>
      </c>
      <c r="C229" s="10">
        <f t="shared" si="111"/>
        <v>50.273209765656901</v>
      </c>
      <c r="D229" s="10">
        <f t="shared" si="111"/>
        <v>55.581542473559672</v>
      </c>
      <c r="E229" s="10">
        <f t="shared" si="111"/>
        <v>140.66262948592427</v>
      </c>
      <c r="F229" s="10">
        <f t="shared" si="111"/>
        <v>48.398122486903866</v>
      </c>
      <c r="G229" s="10">
        <f t="shared" si="111"/>
        <v>2.1197566694026317</v>
      </c>
      <c r="H229" s="10">
        <f t="shared" si="111"/>
        <v>-120.71784224237558</v>
      </c>
      <c r="I229" s="10">
        <f t="shared" si="111"/>
        <v>126.83531519791497</v>
      </c>
      <c r="J229" s="10">
        <f t="shared" si="111"/>
        <v>281.11521026327915</v>
      </c>
      <c r="K229" s="10">
        <f t="shared" si="111"/>
        <v>-537.69820728956427</v>
      </c>
      <c r="L229" s="10">
        <f t="shared" si="111"/>
        <v>112.05156229908705</v>
      </c>
      <c r="M229" s="10">
        <f t="shared" si="111"/>
        <v>775.02731743212178</v>
      </c>
    </row>
    <row r="230" spans="1:13">
      <c r="A230" s="8" t="s">
        <v>56</v>
      </c>
      <c r="B230" s="38">
        <f t="shared" ref="B230:M231" si="112">B66/2.7</f>
        <v>-38.316324446223859</v>
      </c>
      <c r="C230" s="38">
        <f t="shared" si="112"/>
        <v>84.728504939985314</v>
      </c>
      <c r="D230" s="38">
        <f t="shared" si="112"/>
        <v>56.262471627951903</v>
      </c>
      <c r="E230" s="38">
        <f t="shared" si="112"/>
        <v>135.41236054199757</v>
      </c>
      <c r="F230" s="38">
        <f t="shared" si="112"/>
        <v>40.766320106371047</v>
      </c>
      <c r="G230" s="38">
        <f t="shared" si="112"/>
        <v>-7.2367682115043994</v>
      </c>
      <c r="H230" s="38">
        <f t="shared" si="112"/>
        <v>-113.1045775958318</v>
      </c>
      <c r="I230" s="38">
        <f t="shared" si="112"/>
        <v>114.69327251995439</v>
      </c>
      <c r="J230" s="38">
        <f t="shared" si="112"/>
        <v>278.27174927124992</v>
      </c>
      <c r="K230" s="38">
        <f t="shared" si="112"/>
        <v>-546.81419921643123</v>
      </c>
      <c r="L230" s="38">
        <f t="shared" si="112"/>
        <v>0</v>
      </c>
      <c r="M230" s="38">
        <f t="shared" si="112"/>
        <v>629.04897356875244</v>
      </c>
    </row>
    <row r="231" spans="1:13">
      <c r="A231" s="8" t="s">
        <v>57</v>
      </c>
      <c r="B231" s="38">
        <f t="shared" si="112"/>
        <v>-33.955567176252373</v>
      </c>
      <c r="C231" s="38">
        <f t="shared" si="112"/>
        <v>-34.455295174328413</v>
      </c>
      <c r="D231" s="38">
        <f t="shared" si="112"/>
        <v>-0.68092915439223467</v>
      </c>
      <c r="E231" s="38">
        <f t="shared" si="112"/>
        <v>5.2502689439267032</v>
      </c>
      <c r="F231" s="38">
        <f t="shared" si="112"/>
        <v>7.6318023805328163</v>
      </c>
      <c r="G231" s="38">
        <f t="shared" si="112"/>
        <v>9.3565248809070312</v>
      </c>
      <c r="H231" s="38">
        <f t="shared" si="112"/>
        <v>-7.6132646465437883</v>
      </c>
      <c r="I231" s="38">
        <f t="shared" si="112"/>
        <v>12.14204267796058</v>
      </c>
      <c r="J231" s="38">
        <f t="shared" si="112"/>
        <v>2.8434609920292355</v>
      </c>
      <c r="K231" s="38">
        <f t="shared" si="112"/>
        <v>9.115991926866915</v>
      </c>
      <c r="L231" s="38">
        <f t="shared" si="112"/>
        <v>112.05156229908705</v>
      </c>
      <c r="M231" s="38">
        <f t="shared" si="112"/>
        <v>145.9783438633693</v>
      </c>
    </row>
    <row r="232" spans="1:13">
      <c r="A232" s="8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</row>
    <row r="233" spans="1:13">
      <c r="A233" s="8" t="s">
        <v>48</v>
      </c>
      <c r="B233" s="24">
        <f t="shared" ref="B233:M233" si="113">B69/2.7</f>
        <v>99.599794095778122</v>
      </c>
      <c r="C233" s="24">
        <f t="shared" si="113"/>
        <v>-8.6960071854331691</v>
      </c>
      <c r="D233" s="24">
        <f t="shared" si="113"/>
        <v>179.51658859322939</v>
      </c>
      <c r="E233" s="24">
        <f t="shared" si="113"/>
        <v>-70.148795493829411</v>
      </c>
      <c r="F233" s="24">
        <f t="shared" si="113"/>
        <v>65.664883136023576</v>
      </c>
      <c r="G233" s="24">
        <f t="shared" si="113"/>
        <v>111.0740713104743</v>
      </c>
      <c r="H233" s="24">
        <f t="shared" si="113"/>
        <v>221.03866961784814</v>
      </c>
      <c r="I233" s="24">
        <f t="shared" si="113"/>
        <v>-38.5860889395667</v>
      </c>
      <c r="J233" s="24">
        <f t="shared" si="113"/>
        <v>128.4481590591478</v>
      </c>
      <c r="K233" s="24">
        <f t="shared" si="113"/>
        <v>1027.6196129645023</v>
      </c>
      <c r="L233" s="24">
        <f t="shared" si="113"/>
        <v>487.12919506236341</v>
      </c>
      <c r="M233" s="24">
        <f t="shared" si="113"/>
        <v>-39.651856042473554</v>
      </c>
    </row>
    <row r="234" spans="1:13" ht="13.5" thickBot="1">
      <c r="A234" s="39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</row>
    <row r="235" spans="1:13">
      <c r="A235" s="41" t="s">
        <v>58</v>
      </c>
    </row>
    <row r="236" spans="1:13">
      <c r="A236" s="1" t="s">
        <v>59</v>
      </c>
    </row>
    <row r="237" spans="1:13">
      <c r="A237" s="1" t="s">
        <v>60</v>
      </c>
    </row>
    <row r="238" spans="1:13">
      <c r="A238" s="1" t="s">
        <v>61</v>
      </c>
    </row>
    <row r="239" spans="1:13">
      <c r="A239" s="1" t="s">
        <v>62</v>
      </c>
    </row>
    <row r="240" spans="1:13">
      <c r="A240" s="1" t="s">
        <v>63</v>
      </c>
    </row>
    <row r="241" spans="1:1" ht="15">
      <c r="A241" t="s">
        <v>64</v>
      </c>
    </row>
    <row r="242" spans="1:1">
      <c r="A242" s="1" t="s">
        <v>65</v>
      </c>
    </row>
    <row r="243" spans="1:1">
      <c r="A243" s="1" t="s">
        <v>66</v>
      </c>
    </row>
    <row r="244" spans="1:1">
      <c r="A244" s="1" t="s">
        <v>67</v>
      </c>
    </row>
    <row r="245" spans="1:1">
      <c r="A245" s="50" t="s">
        <v>69</v>
      </c>
    </row>
    <row r="246" spans="1:1">
      <c r="A246" s="46" t="s">
        <v>70</v>
      </c>
    </row>
  </sheetData>
  <pageMargins left="0.75" right="0.75" top="1" bottom="1" header="0.5" footer="0.5"/>
  <pageSetup scale="65" fitToHeight="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Ramotar</dc:creator>
  <cp:lastModifiedBy>Marissa Ramotar</cp:lastModifiedBy>
  <dcterms:created xsi:type="dcterms:W3CDTF">2025-08-11T20:18:28Z</dcterms:created>
  <dcterms:modified xsi:type="dcterms:W3CDTF">2025-08-12T20:38:53Z</dcterms:modified>
</cp:coreProperties>
</file>