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0490" windowHeight="7320"/>
  </bookViews>
  <sheets>
    <sheet name="JM" sheetId="1" r:id="rId1"/>
  </sheets>
  <definedNames>
    <definedName name="Z_31F9EB26_C686_4C02_BB83_68E41BACC888_.wvu.Rows" localSheetId="0" hidden="1">JM!#REF!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9" i="1" l="1"/>
  <c r="K134" i="1"/>
  <c r="K133" i="1" s="1"/>
  <c r="J134" i="1"/>
  <c r="I134" i="1"/>
  <c r="I133" i="1" s="1"/>
  <c r="H134" i="1"/>
  <c r="H133" i="1" s="1"/>
  <c r="G134" i="1"/>
  <c r="G133" i="1" s="1"/>
  <c r="F134" i="1"/>
  <c r="F133" i="1" s="1"/>
  <c r="E134" i="1"/>
  <c r="E133" i="1" s="1"/>
  <c r="D134" i="1"/>
  <c r="D133" i="1" s="1"/>
  <c r="C134" i="1"/>
  <c r="C133" i="1" s="1"/>
  <c r="B134" i="1"/>
  <c r="B133" i="1" s="1"/>
  <c r="J123" i="1"/>
  <c r="J119" i="1" s="1"/>
  <c r="K119" i="1"/>
  <c r="I119" i="1"/>
  <c r="H119" i="1"/>
  <c r="G119" i="1"/>
  <c r="F119" i="1"/>
  <c r="E119" i="1"/>
  <c r="D119" i="1"/>
  <c r="C119" i="1"/>
  <c r="B119" i="1"/>
  <c r="J117" i="1"/>
  <c r="I117" i="1"/>
  <c r="J114" i="1"/>
  <c r="I114" i="1"/>
  <c r="K105" i="1"/>
  <c r="H105" i="1"/>
  <c r="G105" i="1"/>
  <c r="F105" i="1"/>
  <c r="E105" i="1"/>
  <c r="D105" i="1"/>
  <c r="C105" i="1"/>
  <c r="B105" i="1"/>
  <c r="J100" i="1"/>
  <c r="I100" i="1"/>
  <c r="J99" i="1"/>
  <c r="I99" i="1"/>
  <c r="K97" i="1"/>
  <c r="H97" i="1"/>
  <c r="G97" i="1"/>
  <c r="F97" i="1"/>
  <c r="E97" i="1"/>
  <c r="D97" i="1"/>
  <c r="C97" i="1"/>
  <c r="B97" i="1"/>
  <c r="J105" i="1" l="1"/>
  <c r="I97" i="1"/>
  <c r="I96" i="1" s="1"/>
  <c r="I105" i="1"/>
  <c r="M134" i="1"/>
  <c r="J155" i="1"/>
  <c r="M97" i="1"/>
  <c r="F96" i="1"/>
  <c r="F95" i="1" s="1"/>
  <c r="F143" i="1" s="1"/>
  <c r="J97" i="1"/>
  <c r="E96" i="1"/>
  <c r="E95" i="1" s="1"/>
  <c r="E94" i="1" s="1"/>
  <c r="E145" i="1" s="1"/>
  <c r="L97" i="1"/>
  <c r="M105" i="1"/>
  <c r="M133" i="1"/>
  <c r="B96" i="1"/>
  <c r="B95" i="1" s="1"/>
  <c r="B143" i="1" s="1"/>
  <c r="D96" i="1"/>
  <c r="D95" i="1" s="1"/>
  <c r="D143" i="1" s="1"/>
  <c r="H96" i="1"/>
  <c r="H95" i="1" s="1"/>
  <c r="H94" i="1" s="1"/>
  <c r="K96" i="1"/>
  <c r="K95" i="1" s="1"/>
  <c r="K94" i="1" s="1"/>
  <c r="L119" i="1"/>
  <c r="J133" i="1"/>
  <c r="M119" i="1"/>
  <c r="H148" i="1"/>
  <c r="J148" i="1"/>
  <c r="J147" i="1" s="1"/>
  <c r="G148" i="1"/>
  <c r="G155" i="1"/>
  <c r="K155" i="1"/>
  <c r="I155" i="1"/>
  <c r="M155" i="1"/>
  <c r="H155" i="1"/>
  <c r="L155" i="1"/>
  <c r="L105" i="1"/>
  <c r="C96" i="1"/>
  <c r="G96" i="1"/>
  <c r="L134" i="1"/>
  <c r="L133" i="1" s="1"/>
  <c r="I148" i="1"/>
  <c r="M148" i="1"/>
  <c r="J96" i="1" l="1"/>
  <c r="J95" i="1" s="1"/>
  <c r="J94" i="1" s="1"/>
  <c r="J145" i="1" s="1"/>
  <c r="F94" i="1"/>
  <c r="F145" i="1" s="1"/>
  <c r="M147" i="1"/>
  <c r="I147" i="1"/>
  <c r="J143" i="1"/>
  <c r="E144" i="1"/>
  <c r="H147" i="1"/>
  <c r="E143" i="1"/>
  <c r="K143" i="1"/>
  <c r="H143" i="1"/>
  <c r="D94" i="1"/>
  <c r="D145" i="1" s="1"/>
  <c r="M96" i="1"/>
  <c r="M95" i="1" s="1"/>
  <c r="G147" i="1"/>
  <c r="B94" i="1"/>
  <c r="B144" i="1" s="1"/>
  <c r="L96" i="1"/>
  <c r="L95" i="1" s="1"/>
  <c r="J144" i="1"/>
  <c r="G95" i="1"/>
  <c r="K145" i="1"/>
  <c r="K153" i="1" s="1"/>
  <c r="K148" i="1" s="1"/>
  <c r="K147" i="1" s="1"/>
  <c r="K144" i="1"/>
  <c r="C95" i="1"/>
  <c r="H145" i="1"/>
  <c r="H144" i="1"/>
  <c r="I95" i="1"/>
  <c r="F144" i="1" l="1"/>
  <c r="B145" i="1"/>
  <c r="D144" i="1"/>
  <c r="M94" i="1"/>
  <c r="M143" i="1"/>
  <c r="I94" i="1"/>
  <c r="I143" i="1"/>
  <c r="C143" i="1"/>
  <c r="C94" i="1"/>
  <c r="G143" i="1"/>
  <c r="G94" i="1"/>
  <c r="L143" i="1"/>
  <c r="L94" i="1"/>
  <c r="M144" i="1" l="1"/>
  <c r="M145" i="1"/>
  <c r="I144" i="1"/>
  <c r="I145" i="1"/>
  <c r="L145" i="1"/>
  <c r="L153" i="1" s="1"/>
  <c r="L148" i="1" s="1"/>
  <c r="L147" i="1" s="1"/>
  <c r="L144" i="1"/>
  <c r="G145" i="1"/>
  <c r="G144" i="1"/>
  <c r="C145" i="1"/>
  <c r="C144" i="1"/>
  <c r="I18" i="1" l="1"/>
  <c r="I186" i="1" s="1"/>
  <c r="I27" i="1"/>
  <c r="I195" i="1" s="1"/>
  <c r="I55" i="1"/>
  <c r="I223" i="1" s="1"/>
  <c r="I17" i="1"/>
  <c r="I185" i="1" s="1"/>
  <c r="I53" i="1"/>
  <c r="I221" i="1" s="1"/>
  <c r="I13" i="1"/>
  <c r="I181" i="1" s="1"/>
  <c r="I47" i="1"/>
  <c r="I215" i="1" s="1"/>
  <c r="I29" i="1"/>
  <c r="I197" i="1" s="1"/>
  <c r="I52" i="1"/>
  <c r="I220" i="1" s="1"/>
  <c r="I51" i="1"/>
  <c r="I45" i="1"/>
  <c r="I213" i="1" s="1"/>
  <c r="I26" i="1"/>
  <c r="I194" i="1" s="1"/>
  <c r="I25" i="1"/>
  <c r="I193" i="1" s="1"/>
  <c r="I31" i="1"/>
  <c r="I199" i="1" s="1"/>
  <c r="I15" i="1"/>
  <c r="I183" i="1" s="1"/>
  <c r="I37" i="1"/>
  <c r="I205" i="1" s="1"/>
  <c r="I35" i="1"/>
  <c r="I203" i="1" s="1"/>
  <c r="I21" i="1"/>
  <c r="I189" i="1" s="1"/>
  <c r="I12" i="1"/>
  <c r="I23" i="1"/>
  <c r="I191" i="1" s="1"/>
  <c r="I22" i="1"/>
  <c r="I190" i="1" s="1"/>
  <c r="I16" i="1"/>
  <c r="I184" i="1" s="1"/>
  <c r="I30" i="1"/>
  <c r="I198" i="1" s="1"/>
  <c r="I32" i="1"/>
  <c r="I200" i="1" s="1"/>
  <c r="I40" i="1"/>
  <c r="I208" i="1" s="1"/>
  <c r="I14" i="1"/>
  <c r="I182" i="1" s="1"/>
  <c r="I39" i="1"/>
  <c r="I207" i="1" s="1"/>
  <c r="I43" i="1"/>
  <c r="I211" i="1" s="1"/>
  <c r="I33" i="1"/>
  <c r="I201" i="1" s="1"/>
  <c r="I19" i="1"/>
  <c r="I187" i="1" s="1"/>
  <c r="I42" i="1"/>
  <c r="I210" i="1" s="1"/>
  <c r="I24" i="1"/>
  <c r="I192" i="1" s="1"/>
  <c r="I41" i="1"/>
  <c r="I209" i="1" s="1"/>
  <c r="I28" i="1"/>
  <c r="I196" i="1" s="1"/>
  <c r="I38" i="1"/>
  <c r="I206" i="1" s="1"/>
  <c r="I36" i="1"/>
  <c r="I204" i="1" s="1"/>
  <c r="I34" i="1"/>
  <c r="I202" i="1" s="1"/>
  <c r="E43" i="1"/>
  <c r="E211" i="1" s="1"/>
  <c r="E30" i="1"/>
  <c r="E198" i="1" s="1"/>
  <c r="E45" i="1"/>
  <c r="E213" i="1" s="1"/>
  <c r="E42" i="1"/>
  <c r="E210" i="1" s="1"/>
  <c r="E13" i="1"/>
  <c r="E181" i="1" s="1"/>
  <c r="E36" i="1"/>
  <c r="E204" i="1" s="1"/>
  <c r="E29" i="1"/>
  <c r="E197" i="1" s="1"/>
  <c r="E33" i="1"/>
  <c r="E201" i="1" s="1"/>
  <c r="E47" i="1"/>
  <c r="E215" i="1" s="1"/>
  <c r="E15" i="1"/>
  <c r="E183" i="1" s="1"/>
  <c r="E34" i="1"/>
  <c r="E202" i="1" s="1"/>
  <c r="E12" i="1"/>
  <c r="E35" i="1"/>
  <c r="E203" i="1" s="1"/>
  <c r="E41" i="1"/>
  <c r="E209" i="1" s="1"/>
  <c r="E26" i="1"/>
  <c r="E194" i="1" s="1"/>
  <c r="E16" i="1"/>
  <c r="E184" i="1" s="1"/>
  <c r="E32" i="1"/>
  <c r="E200" i="1" s="1"/>
  <c r="E19" i="1"/>
  <c r="E187" i="1" s="1"/>
  <c r="E24" i="1"/>
  <c r="E192" i="1" s="1"/>
  <c r="E40" i="1"/>
  <c r="E208" i="1" s="1"/>
  <c r="E53" i="1"/>
  <c r="E221" i="1" s="1"/>
  <c r="E55" i="1"/>
  <c r="E223" i="1" s="1"/>
  <c r="E14" i="1"/>
  <c r="E182" i="1" s="1"/>
  <c r="E23" i="1"/>
  <c r="E191" i="1" s="1"/>
  <c r="E39" i="1"/>
  <c r="E207" i="1" s="1"/>
  <c r="E18" i="1"/>
  <c r="E186" i="1" s="1"/>
  <c r="E17" i="1"/>
  <c r="E185" i="1" s="1"/>
  <c r="E21" i="1"/>
  <c r="E189" i="1" s="1"/>
  <c r="E31" i="1"/>
  <c r="E199" i="1" s="1"/>
  <c r="E51" i="1"/>
  <c r="E28" i="1"/>
  <c r="E196" i="1" s="1"/>
  <c r="E22" i="1"/>
  <c r="E190" i="1" s="1"/>
  <c r="E25" i="1"/>
  <c r="E193" i="1" s="1"/>
  <c r="E37" i="1"/>
  <c r="E205" i="1" s="1"/>
  <c r="E38" i="1"/>
  <c r="E206" i="1" s="1"/>
  <c r="E52" i="1"/>
  <c r="E220" i="1" s="1"/>
  <c r="H52" i="1"/>
  <c r="H220" i="1" s="1"/>
  <c r="H14" i="1"/>
  <c r="H182" i="1" s="1"/>
  <c r="H51" i="1"/>
  <c r="H43" i="1"/>
  <c r="H211" i="1" s="1"/>
  <c r="H42" i="1"/>
  <c r="H210" i="1" s="1"/>
  <c r="H40" i="1"/>
  <c r="H208" i="1" s="1"/>
  <c r="H26" i="1"/>
  <c r="H194" i="1" s="1"/>
  <c r="H53" i="1"/>
  <c r="H221" i="1" s="1"/>
  <c r="H25" i="1"/>
  <c r="H193" i="1" s="1"/>
  <c r="H18" i="1"/>
  <c r="H186" i="1" s="1"/>
  <c r="H37" i="1"/>
  <c r="H205" i="1" s="1"/>
  <c r="H38" i="1"/>
  <c r="H206" i="1" s="1"/>
  <c r="H33" i="1"/>
  <c r="H201" i="1" s="1"/>
  <c r="H28" i="1"/>
  <c r="H196" i="1" s="1"/>
  <c r="H27" i="1"/>
  <c r="H195" i="1" s="1"/>
  <c r="H24" i="1"/>
  <c r="H192" i="1" s="1"/>
  <c r="H19" i="1"/>
  <c r="H187" i="1" s="1"/>
  <c r="H31" i="1"/>
  <c r="H199" i="1" s="1"/>
  <c r="H36" i="1"/>
  <c r="H204" i="1" s="1"/>
  <c r="H35" i="1"/>
  <c r="H203" i="1" s="1"/>
  <c r="H34" i="1"/>
  <c r="H202" i="1" s="1"/>
  <c r="H32" i="1"/>
  <c r="H200" i="1" s="1"/>
  <c r="H12" i="1"/>
  <c r="H29" i="1"/>
  <c r="H197" i="1" s="1"/>
  <c r="H22" i="1"/>
  <c r="H190" i="1" s="1"/>
  <c r="H13" i="1"/>
  <c r="H181" i="1" s="1"/>
  <c r="H16" i="1"/>
  <c r="H184" i="1" s="1"/>
  <c r="H47" i="1"/>
  <c r="H215" i="1" s="1"/>
  <c r="H30" i="1"/>
  <c r="H198" i="1" s="1"/>
  <c r="H23" i="1"/>
  <c r="H191" i="1" s="1"/>
  <c r="H17" i="1"/>
  <c r="H185" i="1" s="1"/>
  <c r="H45" i="1"/>
  <c r="H213" i="1" s="1"/>
  <c r="H15" i="1"/>
  <c r="H183" i="1" s="1"/>
  <c r="H41" i="1"/>
  <c r="H209" i="1" s="1"/>
  <c r="H21" i="1"/>
  <c r="H189" i="1" s="1"/>
  <c r="H55" i="1"/>
  <c r="H223" i="1" s="1"/>
  <c r="H39" i="1"/>
  <c r="H207" i="1" s="1"/>
  <c r="D18" i="1"/>
  <c r="D186" i="1" s="1"/>
  <c r="D33" i="1"/>
  <c r="D201" i="1" s="1"/>
  <c r="D29" i="1"/>
  <c r="D197" i="1" s="1"/>
  <c r="D55" i="1"/>
  <c r="D223" i="1" s="1"/>
  <c r="D26" i="1"/>
  <c r="D194" i="1" s="1"/>
  <c r="D16" i="1"/>
  <c r="D184" i="1" s="1"/>
  <c r="D36" i="1"/>
  <c r="D204" i="1" s="1"/>
  <c r="D42" i="1"/>
  <c r="D210" i="1" s="1"/>
  <c r="D52" i="1"/>
  <c r="D220" i="1" s="1"/>
  <c r="D13" i="1"/>
  <c r="D181" i="1" s="1"/>
  <c r="D39" i="1"/>
  <c r="D207" i="1" s="1"/>
  <c r="D34" i="1"/>
  <c r="D202" i="1" s="1"/>
  <c r="D45" i="1"/>
  <c r="D213" i="1" s="1"/>
  <c r="D30" i="1"/>
  <c r="D198" i="1" s="1"/>
  <c r="D32" i="1"/>
  <c r="D200" i="1" s="1"/>
  <c r="D53" i="1"/>
  <c r="D221" i="1" s="1"/>
  <c r="D21" i="1"/>
  <c r="D189" i="1" s="1"/>
  <c r="D37" i="1"/>
  <c r="D205" i="1" s="1"/>
  <c r="D14" i="1"/>
  <c r="D182" i="1" s="1"/>
  <c r="D25" i="1"/>
  <c r="D193" i="1" s="1"/>
  <c r="D28" i="1"/>
  <c r="D196" i="1" s="1"/>
  <c r="D15" i="1"/>
  <c r="D183" i="1" s="1"/>
  <c r="D31" i="1"/>
  <c r="D199" i="1" s="1"/>
  <c r="D17" i="1"/>
  <c r="D185" i="1" s="1"/>
  <c r="D12" i="1"/>
  <c r="D23" i="1"/>
  <c r="D191" i="1" s="1"/>
  <c r="D40" i="1"/>
  <c r="D208" i="1" s="1"/>
  <c r="D19" i="1"/>
  <c r="D187" i="1" s="1"/>
  <c r="D38" i="1"/>
  <c r="D206" i="1" s="1"/>
  <c r="D47" i="1"/>
  <c r="D215" i="1" s="1"/>
  <c r="D22" i="1"/>
  <c r="D190" i="1" s="1"/>
  <c r="D20" i="1"/>
  <c r="D188" i="1" s="1"/>
  <c r="D35" i="1"/>
  <c r="D203" i="1" s="1"/>
  <c r="D51" i="1"/>
  <c r="D43" i="1"/>
  <c r="D211" i="1" s="1"/>
  <c r="G17" i="1"/>
  <c r="G185" i="1" s="1"/>
  <c r="G32" i="1"/>
  <c r="G200" i="1" s="1"/>
  <c r="G25" i="1"/>
  <c r="G193" i="1" s="1"/>
  <c r="G26" i="1"/>
  <c r="G194" i="1" s="1"/>
  <c r="G55" i="1"/>
  <c r="G223" i="1" s="1"/>
  <c r="G21" i="1"/>
  <c r="G189" i="1" s="1"/>
  <c r="G18" i="1"/>
  <c r="G186" i="1" s="1"/>
  <c r="G19" i="1"/>
  <c r="G187" i="1" s="1"/>
  <c r="G36" i="1"/>
  <c r="G204" i="1" s="1"/>
  <c r="G40" i="1"/>
  <c r="G208" i="1" s="1"/>
  <c r="G52" i="1"/>
  <c r="G220" i="1" s="1"/>
  <c r="G15" i="1"/>
  <c r="G183" i="1" s="1"/>
  <c r="G39" i="1"/>
  <c r="G207" i="1" s="1"/>
  <c r="G31" i="1"/>
  <c r="G199" i="1" s="1"/>
  <c r="G47" i="1"/>
  <c r="G215" i="1" s="1"/>
  <c r="G37" i="1"/>
  <c r="G205" i="1" s="1"/>
  <c r="G16" i="1"/>
  <c r="G184" i="1" s="1"/>
  <c r="G35" i="1"/>
  <c r="G203" i="1" s="1"/>
  <c r="G12" i="1"/>
  <c r="G13" i="1"/>
  <c r="G181" i="1" s="1"/>
  <c r="G30" i="1"/>
  <c r="G198" i="1" s="1"/>
  <c r="G42" i="1"/>
  <c r="G210" i="1" s="1"/>
  <c r="G23" i="1"/>
  <c r="G191" i="1" s="1"/>
  <c r="G24" i="1"/>
  <c r="G192" i="1" s="1"/>
  <c r="G41" i="1"/>
  <c r="G209" i="1" s="1"/>
  <c r="G27" i="1"/>
  <c r="G195" i="1" s="1"/>
  <c r="G29" i="1"/>
  <c r="G197" i="1" s="1"/>
  <c r="G51" i="1"/>
  <c r="G45" i="1"/>
  <c r="G213" i="1" s="1"/>
  <c r="G38" i="1"/>
  <c r="G206" i="1" s="1"/>
  <c r="G33" i="1"/>
  <c r="G201" i="1" s="1"/>
  <c r="G14" i="1"/>
  <c r="G182" i="1" s="1"/>
  <c r="G53" i="1"/>
  <c r="G221" i="1" s="1"/>
  <c r="G43" i="1"/>
  <c r="G211" i="1" s="1"/>
  <c r="G34" i="1"/>
  <c r="G202" i="1" s="1"/>
  <c r="G28" i="1"/>
  <c r="G196" i="1" s="1"/>
  <c r="G22" i="1"/>
  <c r="G190" i="1" s="1"/>
  <c r="C16" i="1"/>
  <c r="C184" i="1" s="1"/>
  <c r="C28" i="1"/>
  <c r="C196" i="1" s="1"/>
  <c r="C17" i="1"/>
  <c r="C185" i="1" s="1"/>
  <c r="C30" i="1"/>
  <c r="C198" i="1" s="1"/>
  <c r="C55" i="1"/>
  <c r="C223" i="1" s="1"/>
  <c r="C23" i="1"/>
  <c r="C191" i="1" s="1"/>
  <c r="C19" i="1"/>
  <c r="C187" i="1" s="1"/>
  <c r="C35" i="1"/>
  <c r="C203" i="1" s="1"/>
  <c r="C12" i="1"/>
  <c r="C32" i="1"/>
  <c r="C200" i="1" s="1"/>
  <c r="C36" i="1"/>
  <c r="C204" i="1" s="1"/>
  <c r="C51" i="1"/>
  <c r="C40" i="1"/>
  <c r="C208" i="1" s="1"/>
  <c r="C47" i="1"/>
  <c r="C215" i="1" s="1"/>
  <c r="C39" i="1"/>
  <c r="C207" i="1" s="1"/>
  <c r="C45" i="1"/>
  <c r="C213" i="1" s="1"/>
  <c r="C37" i="1"/>
  <c r="C205" i="1" s="1"/>
  <c r="C52" i="1"/>
  <c r="C220" i="1" s="1"/>
  <c r="C38" i="1"/>
  <c r="C206" i="1" s="1"/>
  <c r="C34" i="1"/>
  <c r="C202" i="1" s="1"/>
  <c r="C25" i="1"/>
  <c r="C193" i="1" s="1"/>
  <c r="C14" i="1"/>
  <c r="C182" i="1" s="1"/>
  <c r="C31" i="1"/>
  <c r="C199" i="1" s="1"/>
  <c r="C33" i="1"/>
  <c r="C201" i="1" s="1"/>
  <c r="C13" i="1"/>
  <c r="C181" i="1" s="1"/>
  <c r="C29" i="1"/>
  <c r="C197" i="1" s="1"/>
  <c r="C43" i="1"/>
  <c r="C211" i="1" s="1"/>
  <c r="C26" i="1"/>
  <c r="C194" i="1" s="1"/>
  <c r="C42" i="1"/>
  <c r="C210" i="1" s="1"/>
  <c r="C21" i="1"/>
  <c r="C189" i="1" s="1"/>
  <c r="C15" i="1"/>
  <c r="C183" i="1" s="1"/>
  <c r="C20" i="1"/>
  <c r="C188" i="1" s="1"/>
  <c r="C18" i="1"/>
  <c r="C186" i="1" s="1"/>
  <c r="C53" i="1"/>
  <c r="C221" i="1" s="1"/>
  <c r="M53" i="1"/>
  <c r="M221" i="1" s="1"/>
  <c r="M43" i="1"/>
  <c r="M211" i="1" s="1"/>
  <c r="M24" i="1"/>
  <c r="M192" i="1" s="1"/>
  <c r="M30" i="1"/>
  <c r="M198" i="1" s="1"/>
  <c r="M29" i="1"/>
  <c r="M197" i="1" s="1"/>
  <c r="M52" i="1"/>
  <c r="M220" i="1" s="1"/>
  <c r="M38" i="1"/>
  <c r="M206" i="1" s="1"/>
  <c r="M15" i="1"/>
  <c r="M183" i="1" s="1"/>
  <c r="M39" i="1"/>
  <c r="M207" i="1" s="1"/>
  <c r="M12" i="1"/>
  <c r="M18" i="1"/>
  <c r="M186" i="1" s="1"/>
  <c r="M19" i="1"/>
  <c r="M187" i="1" s="1"/>
  <c r="M28" i="1"/>
  <c r="M196" i="1" s="1"/>
  <c r="M47" i="1"/>
  <c r="M215" i="1" s="1"/>
  <c r="M40" i="1"/>
  <c r="M208" i="1" s="1"/>
  <c r="M22" i="1"/>
  <c r="M190" i="1" s="1"/>
  <c r="M55" i="1"/>
  <c r="M223" i="1" s="1"/>
  <c r="M16" i="1"/>
  <c r="M184" i="1" s="1"/>
  <c r="M13" i="1"/>
  <c r="M181" i="1" s="1"/>
  <c r="M14" i="1"/>
  <c r="M182" i="1" s="1"/>
  <c r="M34" i="1"/>
  <c r="M202" i="1" s="1"/>
  <c r="M33" i="1"/>
  <c r="M201" i="1" s="1"/>
  <c r="M25" i="1"/>
  <c r="M193" i="1" s="1"/>
  <c r="M41" i="1"/>
  <c r="M209" i="1" s="1"/>
  <c r="M36" i="1"/>
  <c r="M204" i="1" s="1"/>
  <c r="M26" i="1"/>
  <c r="M194" i="1" s="1"/>
  <c r="M21" i="1"/>
  <c r="M189" i="1" s="1"/>
  <c r="M45" i="1"/>
  <c r="M213" i="1" s="1"/>
  <c r="M51" i="1"/>
  <c r="M37" i="1"/>
  <c r="M205" i="1" s="1"/>
  <c r="M35" i="1"/>
  <c r="M203" i="1" s="1"/>
  <c r="M31" i="1"/>
  <c r="M199" i="1" s="1"/>
  <c r="M32" i="1"/>
  <c r="M200" i="1" s="1"/>
  <c r="M42" i="1"/>
  <c r="M210" i="1" s="1"/>
  <c r="M23" i="1"/>
  <c r="M191" i="1" s="1"/>
  <c r="M17" i="1"/>
  <c r="M185" i="1" s="1"/>
  <c r="M27" i="1"/>
  <c r="M195" i="1" s="1"/>
  <c r="J47" i="1"/>
  <c r="J215" i="1" s="1"/>
  <c r="J31" i="1"/>
  <c r="J199" i="1" s="1"/>
  <c r="J21" i="1"/>
  <c r="J189" i="1" s="1"/>
  <c r="J29" i="1"/>
  <c r="J197" i="1" s="1"/>
  <c r="J19" i="1"/>
  <c r="J187" i="1" s="1"/>
  <c r="J15" i="1"/>
  <c r="J183" i="1" s="1"/>
  <c r="J27" i="1"/>
  <c r="J195" i="1" s="1"/>
  <c r="J42" i="1"/>
  <c r="J210" i="1" s="1"/>
  <c r="J32" i="1"/>
  <c r="J200" i="1" s="1"/>
  <c r="J26" i="1"/>
  <c r="J194" i="1" s="1"/>
  <c r="J53" i="1"/>
  <c r="J221" i="1" s="1"/>
  <c r="J14" i="1"/>
  <c r="J182" i="1" s="1"/>
  <c r="J30" i="1"/>
  <c r="J198" i="1" s="1"/>
  <c r="J18" i="1"/>
  <c r="J186" i="1" s="1"/>
  <c r="J28" i="1"/>
  <c r="J196" i="1" s="1"/>
  <c r="J33" i="1"/>
  <c r="J201" i="1" s="1"/>
  <c r="J17" i="1"/>
  <c r="J185" i="1" s="1"/>
  <c r="J40" i="1"/>
  <c r="J208" i="1" s="1"/>
  <c r="J55" i="1"/>
  <c r="J223" i="1" s="1"/>
  <c r="J25" i="1"/>
  <c r="J193" i="1" s="1"/>
  <c r="J51" i="1"/>
  <c r="J36" i="1"/>
  <c r="J204" i="1" s="1"/>
  <c r="J43" i="1"/>
  <c r="J211" i="1" s="1"/>
  <c r="J34" i="1"/>
  <c r="J202" i="1" s="1"/>
  <c r="J22" i="1"/>
  <c r="J190" i="1" s="1"/>
  <c r="J16" i="1"/>
  <c r="J184" i="1" s="1"/>
  <c r="J52" i="1"/>
  <c r="J220" i="1" s="1"/>
  <c r="J39" i="1"/>
  <c r="J207" i="1" s="1"/>
  <c r="J35" i="1"/>
  <c r="J203" i="1" s="1"/>
  <c r="J41" i="1"/>
  <c r="J209" i="1" s="1"/>
  <c r="J24" i="1"/>
  <c r="J192" i="1" s="1"/>
  <c r="J38" i="1"/>
  <c r="J206" i="1" s="1"/>
  <c r="J45" i="1"/>
  <c r="J213" i="1" s="1"/>
  <c r="J12" i="1"/>
  <c r="J23" i="1"/>
  <c r="J191" i="1" s="1"/>
  <c r="J13" i="1"/>
  <c r="J181" i="1" s="1"/>
  <c r="J37" i="1"/>
  <c r="J205" i="1" s="1"/>
  <c r="F42" i="1"/>
  <c r="F210" i="1" s="1"/>
  <c r="F31" i="1"/>
  <c r="F199" i="1" s="1"/>
  <c r="F19" i="1"/>
  <c r="F187" i="1" s="1"/>
  <c r="F16" i="1"/>
  <c r="F184" i="1" s="1"/>
  <c r="F36" i="1"/>
  <c r="F204" i="1" s="1"/>
  <c r="F34" i="1"/>
  <c r="F202" i="1" s="1"/>
  <c r="F55" i="1"/>
  <c r="F223" i="1" s="1"/>
  <c r="F45" i="1"/>
  <c r="F213" i="1" s="1"/>
  <c r="F37" i="1"/>
  <c r="F205" i="1" s="1"/>
  <c r="F14" i="1"/>
  <c r="F182" i="1" s="1"/>
  <c r="F53" i="1"/>
  <c r="F221" i="1" s="1"/>
  <c r="F43" i="1"/>
  <c r="F211" i="1" s="1"/>
  <c r="F29" i="1"/>
  <c r="F197" i="1" s="1"/>
  <c r="F39" i="1"/>
  <c r="F207" i="1" s="1"/>
  <c r="F22" i="1"/>
  <c r="F190" i="1" s="1"/>
  <c r="F13" i="1"/>
  <c r="F181" i="1" s="1"/>
  <c r="F25" i="1"/>
  <c r="F193" i="1" s="1"/>
  <c r="F12" i="1"/>
  <c r="F38" i="1"/>
  <c r="F206" i="1" s="1"/>
  <c r="F30" i="1"/>
  <c r="F198" i="1" s="1"/>
  <c r="F23" i="1"/>
  <c r="F191" i="1" s="1"/>
  <c r="F24" i="1"/>
  <c r="F192" i="1" s="1"/>
  <c r="F17" i="1"/>
  <c r="F185" i="1" s="1"/>
  <c r="F47" i="1"/>
  <c r="F215" i="1" s="1"/>
  <c r="F51" i="1"/>
  <c r="F21" i="1"/>
  <c r="F189" i="1" s="1"/>
  <c r="F41" i="1"/>
  <c r="F209" i="1" s="1"/>
  <c r="F18" i="1"/>
  <c r="F186" i="1" s="1"/>
  <c r="F28" i="1"/>
  <c r="F196" i="1" s="1"/>
  <c r="F52" i="1"/>
  <c r="F220" i="1" s="1"/>
  <c r="F35" i="1"/>
  <c r="F203" i="1" s="1"/>
  <c r="F15" i="1"/>
  <c r="F183" i="1" s="1"/>
  <c r="F33" i="1"/>
  <c r="F201" i="1" s="1"/>
  <c r="F32" i="1"/>
  <c r="F200" i="1" s="1"/>
  <c r="F40" i="1"/>
  <c r="F208" i="1" s="1"/>
  <c r="F26" i="1"/>
  <c r="F194" i="1" s="1"/>
  <c r="B14" i="1" l="1"/>
  <c r="B182" i="1" s="1"/>
  <c r="B43" i="1"/>
  <c r="B211" i="1" s="1"/>
  <c r="B18" i="1"/>
  <c r="B186" i="1" s="1"/>
  <c r="B34" i="1"/>
  <c r="B202" i="1" s="1"/>
  <c r="B53" i="1"/>
  <c r="B221" i="1" s="1"/>
  <c r="B20" i="1"/>
  <c r="B188" i="1" s="1"/>
  <c r="B31" i="1"/>
  <c r="B199" i="1" s="1"/>
  <c r="B52" i="1"/>
  <c r="B220" i="1" s="1"/>
  <c r="B13" i="1"/>
  <c r="B181" i="1" s="1"/>
  <c r="B29" i="1"/>
  <c r="B197" i="1" s="1"/>
  <c r="B21" i="1"/>
  <c r="B189" i="1" s="1"/>
  <c r="B35" i="1"/>
  <c r="B203" i="1" s="1"/>
  <c r="B38" i="1"/>
  <c r="B206" i="1" s="1"/>
  <c r="B15" i="1"/>
  <c r="B183" i="1" s="1"/>
  <c r="B47" i="1"/>
  <c r="B215" i="1" s="1"/>
  <c r="B42" i="1"/>
  <c r="B210" i="1" s="1"/>
  <c r="B17" i="1"/>
  <c r="B185" i="1" s="1"/>
  <c r="B45" i="1"/>
  <c r="B213" i="1" s="1"/>
  <c r="B36" i="1"/>
  <c r="B204" i="1" s="1"/>
  <c r="B28" i="1"/>
  <c r="B196" i="1" s="1"/>
  <c r="B16" i="1"/>
  <c r="B184" i="1" s="1"/>
  <c r="B12" i="1"/>
  <c r="B26" i="1"/>
  <c r="B194" i="1" s="1"/>
  <c r="B37" i="1"/>
  <c r="B205" i="1" s="1"/>
  <c r="B51" i="1"/>
  <c r="B25" i="1"/>
  <c r="B193" i="1" s="1"/>
  <c r="B39" i="1"/>
  <c r="B207" i="1" s="1"/>
  <c r="B55" i="1"/>
  <c r="B223" i="1" s="1"/>
  <c r="B19" i="1"/>
  <c r="B187" i="1" s="1"/>
  <c r="B32" i="1"/>
  <c r="B200" i="1" s="1"/>
  <c r="B30" i="1"/>
  <c r="B198" i="1" s="1"/>
  <c r="B23" i="1"/>
  <c r="B191" i="1" s="1"/>
  <c r="B33" i="1"/>
  <c r="B201" i="1" s="1"/>
  <c r="B40" i="1"/>
  <c r="B208" i="1" s="1"/>
  <c r="L42" i="1"/>
  <c r="L210" i="1" s="1"/>
  <c r="L38" i="1"/>
  <c r="L206" i="1" s="1"/>
  <c r="L25" i="1"/>
  <c r="L193" i="1" s="1"/>
  <c r="L19" i="1"/>
  <c r="L187" i="1" s="1"/>
  <c r="L36" i="1"/>
  <c r="L204" i="1" s="1"/>
  <c r="L51" i="1"/>
  <c r="L16" i="1"/>
  <c r="L184" i="1" s="1"/>
  <c r="L43" i="1"/>
  <c r="L211" i="1" s="1"/>
  <c r="L35" i="1"/>
  <c r="L203" i="1" s="1"/>
  <c r="L33" i="1"/>
  <c r="L201" i="1" s="1"/>
  <c r="L23" i="1"/>
  <c r="L191" i="1" s="1"/>
  <c r="L18" i="1"/>
  <c r="L186" i="1" s="1"/>
  <c r="L31" i="1"/>
  <c r="L199" i="1" s="1"/>
  <c r="L12" i="1"/>
  <c r="L55" i="1"/>
  <c r="L223" i="1" s="1"/>
  <c r="L41" i="1"/>
  <c r="L209" i="1" s="1"/>
  <c r="L32" i="1"/>
  <c r="L200" i="1" s="1"/>
  <c r="L30" i="1"/>
  <c r="L198" i="1" s="1"/>
  <c r="L21" i="1"/>
  <c r="L189" i="1" s="1"/>
  <c r="L27" i="1"/>
  <c r="L195" i="1" s="1"/>
  <c r="L28" i="1"/>
  <c r="L196" i="1" s="1"/>
  <c r="L45" i="1"/>
  <c r="L213" i="1" s="1"/>
  <c r="L47" i="1"/>
  <c r="L215" i="1" s="1"/>
  <c r="L17" i="1"/>
  <c r="L185" i="1" s="1"/>
  <c r="L24" i="1"/>
  <c r="L192" i="1" s="1"/>
  <c r="L53" i="1"/>
  <c r="L221" i="1" s="1"/>
  <c r="L13" i="1"/>
  <c r="L181" i="1" s="1"/>
  <c r="L26" i="1"/>
  <c r="L194" i="1" s="1"/>
  <c r="L14" i="1"/>
  <c r="L182" i="1" s="1"/>
  <c r="L52" i="1"/>
  <c r="L220" i="1" s="1"/>
  <c r="L37" i="1"/>
  <c r="L205" i="1" s="1"/>
  <c r="L15" i="1"/>
  <c r="L183" i="1" s="1"/>
  <c r="L34" i="1"/>
  <c r="L202" i="1" s="1"/>
  <c r="L29" i="1"/>
  <c r="L197" i="1" s="1"/>
  <c r="L39" i="1"/>
  <c r="L207" i="1" s="1"/>
  <c r="L22" i="1"/>
  <c r="L190" i="1" s="1"/>
  <c r="L40" i="1"/>
  <c r="L208" i="1" s="1"/>
  <c r="F180" i="1"/>
  <c r="F179" i="1" s="1"/>
  <c r="F11" i="1"/>
  <c r="G180" i="1"/>
  <c r="G179" i="1" s="1"/>
  <c r="G11" i="1"/>
  <c r="D219" i="1"/>
  <c r="D218" i="1" s="1"/>
  <c r="D217" i="1" s="1"/>
  <c r="D50" i="1"/>
  <c r="D49" i="1" s="1"/>
  <c r="H180" i="1"/>
  <c r="H179" i="1" s="1"/>
  <c r="H11" i="1"/>
  <c r="H50" i="1"/>
  <c r="H49" i="1" s="1"/>
  <c r="H219" i="1"/>
  <c r="H218" i="1" s="1"/>
  <c r="H217" i="1" s="1"/>
  <c r="F219" i="1"/>
  <c r="F218" i="1" s="1"/>
  <c r="F217" i="1" s="1"/>
  <c r="F50" i="1"/>
  <c r="F49" i="1" s="1"/>
  <c r="J11" i="1"/>
  <c r="J180" i="1"/>
  <c r="J179" i="1" s="1"/>
  <c r="C180" i="1"/>
  <c r="C179" i="1" s="1"/>
  <c r="C11" i="1"/>
  <c r="D11" i="1"/>
  <c r="D180" i="1"/>
  <c r="D179" i="1" s="1"/>
  <c r="E50" i="1"/>
  <c r="E49" i="1" s="1"/>
  <c r="E219" i="1"/>
  <c r="E218" i="1" s="1"/>
  <c r="E217" i="1" s="1"/>
  <c r="I11" i="1"/>
  <c r="I180" i="1"/>
  <c r="I179" i="1" s="1"/>
  <c r="J50" i="1"/>
  <c r="J49" i="1" s="1"/>
  <c r="J219" i="1"/>
  <c r="J218" i="1" s="1"/>
  <c r="J217" i="1" s="1"/>
  <c r="M11" i="1"/>
  <c r="M180" i="1"/>
  <c r="M179" i="1" s="1"/>
  <c r="C50" i="1"/>
  <c r="C49" i="1" s="1"/>
  <c r="C219" i="1"/>
  <c r="C218" i="1" s="1"/>
  <c r="C217" i="1" s="1"/>
  <c r="I50" i="1"/>
  <c r="I49" i="1" s="1"/>
  <c r="I219" i="1"/>
  <c r="I218" i="1" s="1"/>
  <c r="I217" i="1" s="1"/>
  <c r="M219" i="1"/>
  <c r="M218" i="1" s="1"/>
  <c r="M217" i="1" s="1"/>
  <c r="M50" i="1"/>
  <c r="M49" i="1" s="1"/>
  <c r="G219" i="1"/>
  <c r="G218" i="1" s="1"/>
  <c r="G217" i="1" s="1"/>
  <c r="G50" i="1"/>
  <c r="G49" i="1" s="1"/>
  <c r="E180" i="1"/>
  <c r="E179" i="1" s="1"/>
  <c r="E11" i="1"/>
  <c r="K23" i="1" l="1"/>
  <c r="K191" i="1" s="1"/>
  <c r="K38" i="1"/>
  <c r="K206" i="1" s="1"/>
  <c r="K55" i="1"/>
  <c r="K223" i="1" s="1"/>
  <c r="K35" i="1"/>
  <c r="K203" i="1" s="1"/>
  <c r="K29" i="1"/>
  <c r="K197" i="1" s="1"/>
  <c r="K21" i="1"/>
  <c r="K189" i="1" s="1"/>
  <c r="K25" i="1"/>
  <c r="K193" i="1" s="1"/>
  <c r="K18" i="1"/>
  <c r="K186" i="1" s="1"/>
  <c r="K12" i="1"/>
  <c r="K39" i="1"/>
  <c r="K207" i="1" s="1"/>
  <c r="K27" i="1"/>
  <c r="K195" i="1" s="1"/>
  <c r="K30" i="1"/>
  <c r="K198" i="1" s="1"/>
  <c r="K24" i="1"/>
  <c r="K192" i="1" s="1"/>
  <c r="K17" i="1"/>
  <c r="K185" i="1" s="1"/>
  <c r="K52" i="1"/>
  <c r="K220" i="1" s="1"/>
  <c r="K43" i="1"/>
  <c r="K211" i="1" s="1"/>
  <c r="K36" i="1"/>
  <c r="K204" i="1" s="1"/>
  <c r="K34" i="1"/>
  <c r="K202" i="1" s="1"/>
  <c r="K26" i="1"/>
  <c r="K194" i="1" s="1"/>
  <c r="K22" i="1"/>
  <c r="K190" i="1" s="1"/>
  <c r="K32" i="1"/>
  <c r="K200" i="1" s="1"/>
  <c r="K51" i="1"/>
  <c r="K16" i="1"/>
  <c r="K184" i="1" s="1"/>
  <c r="K15" i="1"/>
  <c r="K183" i="1" s="1"/>
  <c r="K33" i="1"/>
  <c r="K201" i="1" s="1"/>
  <c r="K28" i="1"/>
  <c r="K196" i="1" s="1"/>
  <c r="K47" i="1"/>
  <c r="K215" i="1" s="1"/>
  <c r="K40" i="1"/>
  <c r="K208" i="1" s="1"/>
  <c r="K41" i="1"/>
  <c r="K209" i="1" s="1"/>
  <c r="K37" i="1"/>
  <c r="K205" i="1" s="1"/>
  <c r="K53" i="1"/>
  <c r="K221" i="1" s="1"/>
  <c r="K19" i="1"/>
  <c r="K187" i="1" s="1"/>
  <c r="K14" i="1"/>
  <c r="K182" i="1" s="1"/>
  <c r="K42" i="1"/>
  <c r="K210" i="1" s="1"/>
  <c r="K45" i="1"/>
  <c r="K213" i="1" s="1"/>
  <c r="K13" i="1"/>
  <c r="K181" i="1" s="1"/>
  <c r="K31" i="1"/>
  <c r="K199" i="1" s="1"/>
  <c r="M59" i="1"/>
  <c r="M10" i="1"/>
  <c r="I59" i="1"/>
  <c r="I10" i="1"/>
  <c r="D10" i="1"/>
  <c r="D59" i="1"/>
  <c r="J59" i="1"/>
  <c r="J10" i="1"/>
  <c r="F227" i="1"/>
  <c r="F178" i="1"/>
  <c r="L11" i="1"/>
  <c r="L180" i="1"/>
  <c r="L179" i="1" s="1"/>
  <c r="L219" i="1"/>
  <c r="L218" i="1" s="1"/>
  <c r="L217" i="1" s="1"/>
  <c r="L50" i="1"/>
  <c r="L49" i="1" s="1"/>
  <c r="E10" i="1"/>
  <c r="E59" i="1"/>
  <c r="C59" i="1"/>
  <c r="C10" i="1"/>
  <c r="H59" i="1"/>
  <c r="H10" i="1"/>
  <c r="G59" i="1"/>
  <c r="G10" i="1"/>
  <c r="E227" i="1"/>
  <c r="E178" i="1"/>
  <c r="C227" i="1"/>
  <c r="C178" i="1"/>
  <c r="H178" i="1"/>
  <c r="H227" i="1"/>
  <c r="G227" i="1"/>
  <c r="G178" i="1"/>
  <c r="B11" i="1"/>
  <c r="B180" i="1"/>
  <c r="B179" i="1" s="1"/>
  <c r="M178" i="1"/>
  <c r="M227" i="1"/>
  <c r="I227" i="1"/>
  <c r="I178" i="1"/>
  <c r="D227" i="1"/>
  <c r="D178" i="1"/>
  <c r="J178" i="1"/>
  <c r="J227" i="1"/>
  <c r="F59" i="1"/>
  <c r="F10" i="1"/>
  <c r="B219" i="1"/>
  <c r="B218" i="1" s="1"/>
  <c r="B217" i="1" s="1"/>
  <c r="B50" i="1"/>
  <c r="B49" i="1" s="1"/>
  <c r="J228" i="1" l="1"/>
  <c r="J229" i="1"/>
  <c r="B59" i="1"/>
  <c r="B10" i="1"/>
  <c r="H229" i="1"/>
  <c r="H228" i="1"/>
  <c r="E61" i="1"/>
  <c r="E60" i="1"/>
  <c r="L10" i="1"/>
  <c r="L59" i="1"/>
  <c r="F61" i="1"/>
  <c r="F60" i="1"/>
  <c r="D229" i="1"/>
  <c r="D228" i="1"/>
  <c r="G229" i="1"/>
  <c r="G228" i="1"/>
  <c r="C229" i="1"/>
  <c r="C228" i="1"/>
  <c r="G61" i="1"/>
  <c r="G60" i="1"/>
  <c r="C61" i="1"/>
  <c r="C60" i="1"/>
  <c r="F229" i="1"/>
  <c r="F228" i="1"/>
  <c r="M61" i="1"/>
  <c r="M60" i="1"/>
  <c r="M229" i="1"/>
  <c r="M228" i="1"/>
  <c r="D61" i="1"/>
  <c r="D60" i="1"/>
  <c r="K50" i="1"/>
  <c r="K49" i="1" s="1"/>
  <c r="K219" i="1"/>
  <c r="K218" i="1" s="1"/>
  <c r="K217" i="1" s="1"/>
  <c r="I229" i="1"/>
  <c r="I228" i="1"/>
  <c r="B178" i="1"/>
  <c r="B227" i="1"/>
  <c r="E229" i="1"/>
  <c r="E228" i="1"/>
  <c r="H60" i="1"/>
  <c r="H61" i="1"/>
  <c r="L227" i="1"/>
  <c r="L178" i="1"/>
  <c r="J60" i="1"/>
  <c r="J61" i="1"/>
  <c r="I61" i="1"/>
  <c r="I60" i="1"/>
  <c r="K11" i="1"/>
  <c r="K180" i="1"/>
  <c r="K179" i="1" s="1"/>
  <c r="K178" i="1" l="1"/>
  <c r="K227" i="1"/>
  <c r="B61" i="1"/>
  <c r="B60" i="1"/>
  <c r="K10" i="1"/>
  <c r="K59" i="1"/>
  <c r="B228" i="1"/>
  <c r="B229" i="1"/>
  <c r="L229" i="1"/>
  <c r="L228" i="1"/>
  <c r="L61" i="1"/>
  <c r="L60" i="1"/>
  <c r="K61" i="1" l="1"/>
  <c r="K60" i="1"/>
  <c r="K229" i="1"/>
  <c r="K228" i="1"/>
</calcChain>
</file>

<file path=xl/sharedStrings.xml><?xml version="1.0" encoding="utf-8"?>
<sst xmlns="http://schemas.openxmlformats.org/spreadsheetml/2006/main" count="337" uniqueCount="85">
  <si>
    <t>Exchange rates (EC$ per J$)</t>
  </si>
  <si>
    <t>JAMAICA</t>
  </si>
  <si>
    <t>Summary of Central Government Operations</t>
  </si>
  <si>
    <t>Millions of Eastern Caribbean dollars (EC$ Mn.)</t>
  </si>
  <si>
    <t>ACCOUNTS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</si>
  <si>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</si>
  <si>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</si>
  <si>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</si>
  <si>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</si>
  <si>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</si>
  <si>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</si>
  <si>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</si>
  <si>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</si>
  <si>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</si>
  <si>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</si>
  <si>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</si>
  <si>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TOTAL REVENUE AND GRANTS (1+2+3)</t>
  </si>
  <si>
    <t>1. Current Revenue</t>
  </si>
  <si>
    <t xml:space="preserve">    Tax Revenue</t>
  </si>
  <si>
    <t>Income and Profits</t>
  </si>
  <si>
    <t>Bauxite/alumina</t>
  </si>
  <si>
    <t>Other companies</t>
  </si>
  <si>
    <t>PAYE</t>
  </si>
  <si>
    <t>Tax on dividend</t>
  </si>
  <si>
    <t>Other individuals</t>
  </si>
  <si>
    <t>Tax on interest</t>
  </si>
  <si>
    <t>Environmental Levy</t>
  </si>
  <si>
    <t>Production and Consumption</t>
  </si>
  <si>
    <t>MBT</t>
  </si>
  <si>
    <t>Special consumption tax (SCT)</t>
  </si>
  <si>
    <t>Motor vehicle licenses</t>
  </si>
  <si>
    <t>Other licenses</t>
  </si>
  <si>
    <t>Quarry Tax</t>
  </si>
  <si>
    <t>Betting, gaming and lottery</t>
  </si>
  <si>
    <t>Accommodation Tax</t>
  </si>
  <si>
    <t>Education Tax</t>
  </si>
  <si>
    <t>Telephone and telex</t>
  </si>
  <si>
    <t>Contractors Levy</t>
  </si>
  <si>
    <t>General consumption tax (GCT) - Local</t>
  </si>
  <si>
    <t>Stamp Duty (Local)</t>
  </si>
  <si>
    <t>International Trade</t>
  </si>
  <si>
    <t>Custom Duty</t>
  </si>
  <si>
    <t>Travel Tax</t>
  </si>
  <si>
    <t>GCT (Imports)</t>
  </si>
  <si>
    <t>SCT (Imports)</t>
  </si>
  <si>
    <t xml:space="preserve">    Bauxite Levy/CD  Transfers</t>
  </si>
  <si>
    <t xml:space="preserve">    Non-Tax Revenue</t>
  </si>
  <si>
    <t>2. Capital Revenue</t>
  </si>
  <si>
    <t>3. Grants</t>
  </si>
  <si>
    <t>TOTAL EXPENDITURE AND NET LENDING (4+5+6)</t>
  </si>
  <si>
    <t>4. Recurrent Expenditure</t>
  </si>
  <si>
    <t>Compensation of Employees</t>
  </si>
  <si>
    <t>Interest Payments</t>
  </si>
  <si>
    <t>Programmes</t>
  </si>
  <si>
    <t>5. Capital Expenditure and Net Lending</t>
  </si>
  <si>
    <t>6. Other</t>
  </si>
  <si>
    <t>CURRENT ACCOUNT BALANCE (1-4)</t>
  </si>
  <si>
    <t>PRIMARY BALANCE</t>
  </si>
  <si>
    <t>OVERALL BALANCE</t>
  </si>
  <si>
    <t>FINANCING</t>
  </si>
  <si>
    <t>…</t>
  </si>
  <si>
    <t xml:space="preserve"> Net Domestic Financing</t>
  </si>
  <si>
    <t xml:space="preserve">    Non-Bank, including PCDF</t>
  </si>
  <si>
    <t xml:space="preserve">    Market Issues/Bonds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</si>
  <si>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</si>
  <si>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</si>
  <si>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</si>
  <si>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</si>
  <si>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Net External Financing</t>
  </si>
  <si>
    <t xml:space="preserve">    Project/Investment Loans</t>
  </si>
  <si>
    <t xml:space="preserve">    Budget Support Loans</t>
  </si>
  <si>
    <t xml:space="preserve">     Amortization</t>
  </si>
  <si>
    <t>Other Inflows (inc'ds PCDF)</t>
  </si>
  <si>
    <t xml:space="preserve">Other Outflows </t>
  </si>
  <si>
    <t>Notes:</t>
  </si>
  <si>
    <t>Fiscal year: April-March</t>
  </si>
  <si>
    <t>Data are Provisional</t>
  </si>
  <si>
    <t>Millions of Jamaica dollars</t>
  </si>
  <si>
    <t>2023/24</t>
  </si>
  <si>
    <t xml:space="preserve">    Bauxite Levy</t>
  </si>
  <si>
    <t>FISCAL BALANCE</t>
  </si>
  <si>
    <t>Source:</t>
  </si>
  <si>
    <t>Jamaica Ministry of Finance web site  (https://mof.gov.jm/documents/documents-publications/document-centre/category/29-central-government-operations-tables.html)</t>
  </si>
  <si>
    <t>Millions of United States dollars</t>
  </si>
  <si>
    <t>Statistical Digests - Bank of Jamaica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</si>
</sst>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_(* #,##0.0_);_(* \(#,##0.0\);_(* &quot;-&quot;??_);_(@_)"/>
    <numFmt numFmtId="166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0"/>
      <name val="Arial MT"/>
    </font>
    <font>
      <b/>
      <sz val="10"/>
      <color theme="1"/>
      <name val="Arial"/>
      <family val="2"/>
    </font>
    <font>
      <b/>
      <sz val="10"/>
      <name val="Arial MT"/>
    </font>
    <font>
      <i/>
      <sz val="10"/>
      <name val="Arial MT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 MT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Font="1"/>
    <xf numFmtId="164" fontId="3" fillId="0" borderId="0" xfId="2" applyNumberFormat="1" applyFont="1"/>
    <xf numFmtId="14" fontId="4" fillId="0" borderId="0" xfId="0" applyNumberFormat="1" applyFont="1" applyFill="1" applyAlignment="1">
      <alignment horizontal="left"/>
    </xf>
    <xf numFmtId="0" fontId="2" fillId="0" borderId="0" xfId="2" applyAlignment="1"/>
    <xf numFmtId="14" fontId="4" fillId="0" borderId="0" xfId="0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3" fillId="0" borderId="3" xfId="2" applyFont="1" applyBorder="1"/>
    <xf numFmtId="0" fontId="5" fillId="0" borderId="0" xfId="2" applyFont="1" applyBorder="1"/>
    <xf numFmtId="165" fontId="5" fillId="0" borderId="0" xfId="2" applyNumberFormat="1" applyFont="1" applyBorder="1"/>
    <xf numFmtId="0" fontId="5" fillId="0" borderId="0" xfId="2" applyFont="1" applyBorder="1" applyAlignment="1">
      <alignment horizontal="left" indent="1"/>
    </xf>
    <xf numFmtId="0" fontId="5" fillId="0" borderId="0" xfId="2" applyFont="1" applyBorder="1" applyAlignment="1">
      <alignment horizontal="left" indent="2"/>
    </xf>
    <xf numFmtId="165" fontId="6" fillId="0" borderId="0" xfId="2" applyNumberFormat="1" applyFont="1" applyBorder="1"/>
    <xf numFmtId="0" fontId="6" fillId="0" borderId="0" xfId="2" applyFont="1" applyBorder="1" applyAlignment="1">
      <alignment horizontal="left" indent="6"/>
    </xf>
    <xf numFmtId="165" fontId="6" fillId="2" borderId="0" xfId="2" applyNumberFormat="1" applyFont="1" applyFill="1" applyBorder="1"/>
    <xf numFmtId="165" fontId="3" fillId="2" borderId="0" xfId="2" applyNumberFormat="1" applyFont="1" applyFill="1" applyBorder="1"/>
    <xf numFmtId="165" fontId="3" fillId="0" borderId="0" xfId="2" applyNumberFormat="1" applyFont="1" applyFill="1" applyBorder="1"/>
    <xf numFmtId="0" fontId="3" fillId="0" borderId="0" xfId="2" applyFont="1" applyBorder="1" applyAlignment="1">
      <alignment horizontal="left" indent="8"/>
    </xf>
    <xf numFmtId="0" fontId="6" fillId="0" borderId="0" xfId="2" applyFont="1"/>
    <xf numFmtId="165" fontId="3" fillId="0" borderId="0" xfId="2" applyNumberFormat="1" applyFont="1" applyBorder="1"/>
    <xf numFmtId="165" fontId="6" fillId="0" borderId="0" xfId="2" applyNumberFormat="1" applyFont="1" applyFill="1" applyBorder="1"/>
    <xf numFmtId="0" fontId="3" fillId="0" borderId="0" xfId="2" applyFont="1" applyBorder="1" applyAlignment="1">
      <alignment horizontal="left" indent="1"/>
    </xf>
    <xf numFmtId="165" fontId="5" fillId="0" borderId="0" xfId="2" applyNumberFormat="1" applyFont="1" applyBorder="1" applyAlignment="1">
      <alignment horizontal="right"/>
    </xf>
    <xf numFmtId="165" fontId="5" fillId="0" borderId="0" xfId="2" applyNumberFormat="1" applyFont="1" applyFill="1" applyBorder="1"/>
    <xf numFmtId="0" fontId="3" fillId="0" borderId="0" xfId="2" applyFont="1" applyBorder="1" applyAlignment="1">
      <alignment horizontal="left" indent="4"/>
    </xf>
    <xf numFmtId="165" fontId="3" fillId="2" borderId="0" xfId="2" applyNumberFormat="1" applyFont="1" applyFill="1" applyBorder="1" applyAlignment="1">
      <alignment horizontal="right"/>
    </xf>
    <xf numFmtId="0" fontId="3" fillId="0" borderId="0" xfId="2" applyFont="1" applyBorder="1"/>
    <xf numFmtId="0" fontId="4" fillId="0" borderId="0" xfId="0" applyFont="1" applyBorder="1"/>
    <xf numFmtId="165" fontId="4" fillId="0" borderId="0" xfId="1" applyNumberFormat="1" applyFont="1" applyFill="1" applyBorder="1"/>
    <xf numFmtId="165" fontId="8" fillId="0" borderId="0" xfId="3" applyNumberFormat="1" applyFont="1" applyFill="1" applyBorder="1" applyAlignment="1">
      <alignment horizontal="right"/>
    </xf>
    <xf numFmtId="165" fontId="3" fillId="0" borderId="0" xfId="2" applyNumberFormat="1" applyFont="1" applyBorder="1" applyAlignment="1">
      <alignment horizontal="right"/>
    </xf>
    <xf numFmtId="0" fontId="3" fillId="0" borderId="4" xfId="2" applyFont="1" applyBorder="1"/>
    <xf numFmtId="166" fontId="3" fillId="0" borderId="4" xfId="2" applyNumberFormat="1" applyFont="1" applyBorder="1"/>
    <xf numFmtId="0" fontId="9" fillId="0" borderId="0" xfId="2" applyFont="1"/>
    <xf numFmtId="0" fontId="3" fillId="0" borderId="0" xfId="2" applyFont="1" applyAlignment="1">
      <alignment vertical="center"/>
    </xf>
    <xf numFmtId="165" fontId="5" fillId="0" borderId="0" xfId="1" applyNumberFormat="1" applyFont="1"/>
    <xf numFmtId="0" fontId="5" fillId="0" borderId="0" xfId="2" applyFont="1"/>
    <xf numFmtId="165" fontId="3" fillId="0" borderId="0" xfId="1" applyNumberFormat="1" applyFont="1"/>
    <xf numFmtId="165" fontId="10" fillId="0" borderId="0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252"/>
  <sheetViews>
    <sheetView tabSelected="1" showRuler="0" topLeftCell="A2" zoomScale="93" zoomScaleNormal="93" workbookViewId="0">
      <selection activeCell="J19" sqref="J19"/>
    </sheetView>
  </sheetViews>
  <sheetFormatPr defaultColWidth="12.5703125" defaultRowHeight="12.75"/>
  <cols>
    <col min="1" max="1" width="50.140625" style="1" customWidth="1"/>
    <col min="2" max="6" width="11.140625" style="1" customWidth="1"/>
    <col min="7" max="7" width="12" style="1" customWidth="1"/>
    <col min="8" max="8" width="12.140625" style="1" customWidth="1"/>
    <col min="9" max="9" width="11.140625" style="1" customWidth="1"/>
    <col min="10" max="10" width="11.42578125" style="1" customWidth="1"/>
    <col min="11" max="11" width="11.140625" style="1" customWidth="1"/>
    <col min="12" max="12" width="12.28515625" style="1" customWidth="1"/>
    <col min="13" max="13" width="13.28515625" style="1" customWidth="1"/>
    <col min="14" max="143" width="12.5703125" style="1"/>
    <col min="144" max="144" width="43" style="1" customWidth="1"/>
    <col min="145" max="148" width="7.42578125" style="1" customWidth="1"/>
    <col min="149" max="149" width="7" style="1" customWidth="1"/>
    <col min="150" max="152" width="7.42578125" style="1" customWidth="1"/>
    <col min="153" max="153" width="8" style="1" bestFit="1" customWidth="1"/>
    <col min="154" max="154" width="7.42578125" style="1" customWidth="1"/>
    <col min="155" max="155" width="9" style="1" bestFit="1" customWidth="1"/>
    <col min="156" max="172" width="9.28515625" style="1" customWidth="1"/>
    <col min="173" max="178" width="11.140625" style="1" customWidth="1"/>
    <col min="179" max="179" width="38.140625" style="1" customWidth="1"/>
    <col min="180" max="184" width="7.42578125" style="1" customWidth="1"/>
    <col min="185" max="191" width="8.85546875" style="1" customWidth="1"/>
    <col min="192" max="192" width="7.42578125" style="1" customWidth="1"/>
    <col min="193" max="197" width="8.28515625" style="1" bestFit="1" customWidth="1"/>
    <col min="198" max="198" width="8.7109375" style="1" customWidth="1"/>
    <col min="199" max="204" width="8.5703125" style="1" customWidth="1"/>
    <col min="205" max="207" width="9" style="1" customWidth="1"/>
    <col min="208" max="208" width="7.140625" style="1" bestFit="1" customWidth="1"/>
    <col min="209" max="211" width="11.42578125" style="1" customWidth="1"/>
    <col min="212" max="212" width="10" style="1" customWidth="1"/>
    <col min="213" max="213" width="37.28515625" style="1" customWidth="1"/>
    <col min="214" max="214" width="8.7109375" style="1" customWidth="1"/>
    <col min="215" max="218" width="12.5703125" style="1" customWidth="1"/>
    <col min="219" max="219" width="9.7109375" style="1" customWidth="1"/>
    <col min="220" max="220" width="9.28515625" style="1" customWidth="1"/>
    <col min="221" max="221" width="8.85546875" style="1" customWidth="1"/>
    <col min="222" max="222" width="8.140625" style="1" customWidth="1"/>
    <col min="223" max="223" width="8.42578125" style="1" customWidth="1"/>
    <col min="224" max="224" width="9" style="1" customWidth="1"/>
    <col min="225" max="225" width="8.28515625" style="1" customWidth="1"/>
    <col min="226" max="226" width="8.85546875" style="1" customWidth="1"/>
    <col min="227" max="227" width="8" style="1" customWidth="1"/>
    <col min="228" max="229" width="8.7109375" style="1" customWidth="1"/>
    <col min="230" max="230" width="8.42578125" style="1" customWidth="1"/>
    <col min="231" max="231" width="9.140625" style="1" customWidth="1"/>
    <col min="232" max="232" width="9.5703125" style="1" bestFit="1" customWidth="1"/>
    <col min="233" max="241" width="9.5703125" style="1" customWidth="1"/>
    <col min="242" max="399" width="12.5703125" style="1"/>
    <col min="400" max="400" width="43" style="1" customWidth="1"/>
    <col min="401" max="404" width="7.42578125" style="1" customWidth="1"/>
    <col min="405" max="405" width="7" style="1" customWidth="1"/>
    <col min="406" max="408" width="7.42578125" style="1" customWidth="1"/>
    <col min="409" max="409" width="8" style="1" bestFit="1" customWidth="1"/>
    <col min="410" max="410" width="7.42578125" style="1" customWidth="1"/>
    <col min="411" max="411" width="9" style="1" bestFit="1" customWidth="1"/>
    <col min="412" max="428" width="9.28515625" style="1" customWidth="1"/>
    <col min="429" max="434" width="11.140625" style="1" customWidth="1"/>
    <col min="435" max="435" width="38.140625" style="1" customWidth="1"/>
    <col min="436" max="440" width="7.42578125" style="1" customWidth="1"/>
    <col min="441" max="447" width="8.85546875" style="1" customWidth="1"/>
    <col min="448" max="448" width="7.42578125" style="1" customWidth="1"/>
    <col min="449" max="453" width="8.28515625" style="1" bestFit="1" customWidth="1"/>
    <col min="454" max="454" width="8.7109375" style="1" customWidth="1"/>
    <col min="455" max="460" width="8.5703125" style="1" customWidth="1"/>
    <col min="461" max="463" width="9" style="1" customWidth="1"/>
    <col min="464" max="464" width="7.140625" style="1" bestFit="1" customWidth="1"/>
    <col min="465" max="467" width="11.42578125" style="1" customWidth="1"/>
    <col min="468" max="468" width="10" style="1" customWidth="1"/>
    <col min="469" max="469" width="37.28515625" style="1" customWidth="1"/>
    <col min="470" max="470" width="8.7109375" style="1" customWidth="1"/>
    <col min="471" max="474" width="12.5703125" style="1" customWidth="1"/>
    <col min="475" max="475" width="9.7109375" style="1" customWidth="1"/>
    <col min="476" max="476" width="9.28515625" style="1" customWidth="1"/>
    <col min="477" max="477" width="8.85546875" style="1" customWidth="1"/>
    <col min="478" max="478" width="8.140625" style="1" customWidth="1"/>
    <col min="479" max="479" width="8.42578125" style="1" customWidth="1"/>
    <col min="480" max="480" width="9" style="1" customWidth="1"/>
    <col min="481" max="481" width="8.28515625" style="1" customWidth="1"/>
    <col min="482" max="482" width="8.85546875" style="1" customWidth="1"/>
    <col min="483" max="483" width="8" style="1" customWidth="1"/>
    <col min="484" max="485" width="8.7109375" style="1" customWidth="1"/>
    <col min="486" max="486" width="8.42578125" style="1" customWidth="1"/>
    <col min="487" max="487" width="9.140625" style="1" customWidth="1"/>
    <col min="488" max="488" width="9.5703125" style="1" bestFit="1" customWidth="1"/>
    <col min="489" max="497" width="9.5703125" style="1" customWidth="1"/>
    <col min="498" max="655" width="12.5703125" style="1"/>
    <col min="656" max="656" width="43" style="1" customWidth="1"/>
    <col min="657" max="660" width="7.42578125" style="1" customWidth="1"/>
    <col min="661" max="661" width="7" style="1" customWidth="1"/>
    <col min="662" max="664" width="7.42578125" style="1" customWidth="1"/>
    <col min="665" max="665" width="8" style="1" bestFit="1" customWidth="1"/>
    <col min="666" max="666" width="7.42578125" style="1" customWidth="1"/>
    <col min="667" max="667" width="9" style="1" bestFit="1" customWidth="1"/>
    <col min="668" max="684" width="9.28515625" style="1" customWidth="1"/>
    <col min="685" max="690" width="11.140625" style="1" customWidth="1"/>
    <col min="691" max="691" width="38.140625" style="1" customWidth="1"/>
    <col min="692" max="696" width="7.42578125" style="1" customWidth="1"/>
    <col min="697" max="703" width="8.85546875" style="1" customWidth="1"/>
    <col min="704" max="704" width="7.42578125" style="1" customWidth="1"/>
    <col min="705" max="709" width="8.28515625" style="1" bestFit="1" customWidth="1"/>
    <col min="710" max="710" width="8.7109375" style="1" customWidth="1"/>
    <col min="711" max="716" width="8.5703125" style="1" customWidth="1"/>
    <col min="717" max="719" width="9" style="1" customWidth="1"/>
    <col min="720" max="720" width="7.140625" style="1" bestFit="1" customWidth="1"/>
    <col min="721" max="723" width="11.42578125" style="1" customWidth="1"/>
    <col min="724" max="724" width="10" style="1" customWidth="1"/>
    <col min="725" max="725" width="37.28515625" style="1" customWidth="1"/>
    <col min="726" max="726" width="8.7109375" style="1" customWidth="1"/>
    <col min="727" max="730" width="12.5703125" style="1" customWidth="1"/>
    <col min="731" max="731" width="9.7109375" style="1" customWidth="1"/>
    <col min="732" max="732" width="9.28515625" style="1" customWidth="1"/>
    <col min="733" max="733" width="8.85546875" style="1" customWidth="1"/>
    <col min="734" max="734" width="8.140625" style="1" customWidth="1"/>
    <col min="735" max="735" width="8.42578125" style="1" customWidth="1"/>
    <col min="736" max="736" width="9" style="1" customWidth="1"/>
    <col min="737" max="737" width="8.28515625" style="1" customWidth="1"/>
    <col min="738" max="738" width="8.85546875" style="1" customWidth="1"/>
    <col min="739" max="739" width="8" style="1" customWidth="1"/>
    <col min="740" max="741" width="8.7109375" style="1" customWidth="1"/>
    <col min="742" max="742" width="8.42578125" style="1" customWidth="1"/>
    <col min="743" max="743" width="9.140625" style="1" customWidth="1"/>
    <col min="744" max="744" width="9.5703125" style="1" bestFit="1" customWidth="1"/>
    <col min="745" max="753" width="9.5703125" style="1" customWidth="1"/>
    <col min="754" max="911" width="12.5703125" style="1"/>
    <col min="912" max="912" width="43" style="1" customWidth="1"/>
    <col min="913" max="916" width="7.42578125" style="1" customWidth="1"/>
    <col min="917" max="917" width="7" style="1" customWidth="1"/>
    <col min="918" max="920" width="7.42578125" style="1" customWidth="1"/>
    <col min="921" max="921" width="8" style="1" bestFit="1" customWidth="1"/>
    <col min="922" max="922" width="7.42578125" style="1" customWidth="1"/>
    <col min="923" max="923" width="9" style="1" bestFit="1" customWidth="1"/>
    <col min="924" max="940" width="9.28515625" style="1" customWidth="1"/>
    <col min="941" max="946" width="11.140625" style="1" customWidth="1"/>
    <col min="947" max="947" width="38.140625" style="1" customWidth="1"/>
    <col min="948" max="952" width="7.42578125" style="1" customWidth="1"/>
    <col min="953" max="959" width="8.85546875" style="1" customWidth="1"/>
    <col min="960" max="960" width="7.42578125" style="1" customWidth="1"/>
    <col min="961" max="965" width="8.28515625" style="1" bestFit="1" customWidth="1"/>
    <col min="966" max="966" width="8.7109375" style="1" customWidth="1"/>
    <col min="967" max="972" width="8.5703125" style="1" customWidth="1"/>
    <col min="973" max="975" width="9" style="1" customWidth="1"/>
    <col min="976" max="976" width="7.140625" style="1" bestFit="1" customWidth="1"/>
    <col min="977" max="979" width="11.42578125" style="1" customWidth="1"/>
    <col min="980" max="980" width="10" style="1" customWidth="1"/>
    <col min="981" max="981" width="37.28515625" style="1" customWidth="1"/>
    <col min="982" max="982" width="8.7109375" style="1" customWidth="1"/>
    <col min="983" max="986" width="12.5703125" style="1" customWidth="1"/>
    <col min="987" max="987" width="9.7109375" style="1" customWidth="1"/>
    <col min="988" max="988" width="9.28515625" style="1" customWidth="1"/>
    <col min="989" max="989" width="8.85546875" style="1" customWidth="1"/>
    <col min="990" max="990" width="8.140625" style="1" customWidth="1"/>
    <col min="991" max="991" width="8.42578125" style="1" customWidth="1"/>
    <col min="992" max="992" width="9" style="1" customWidth="1"/>
    <col min="993" max="993" width="8.28515625" style="1" customWidth="1"/>
    <col min="994" max="994" width="8.85546875" style="1" customWidth="1"/>
    <col min="995" max="995" width="8" style="1" customWidth="1"/>
    <col min="996" max="997" width="8.7109375" style="1" customWidth="1"/>
    <col min="998" max="998" width="8.42578125" style="1" customWidth="1"/>
    <col min="999" max="999" width="9.140625" style="1" customWidth="1"/>
    <col min="1000" max="1000" width="9.5703125" style="1" bestFit="1" customWidth="1"/>
    <col min="1001" max="1009" width="9.5703125" style="1" customWidth="1"/>
    <col min="1010" max="1167" width="12.5703125" style="1"/>
    <col min="1168" max="1168" width="43" style="1" customWidth="1"/>
    <col min="1169" max="1172" width="7.42578125" style="1" customWidth="1"/>
    <col min="1173" max="1173" width="7" style="1" customWidth="1"/>
    <col min="1174" max="1176" width="7.42578125" style="1" customWidth="1"/>
    <col min="1177" max="1177" width="8" style="1" bestFit="1" customWidth="1"/>
    <col min="1178" max="1178" width="7.42578125" style="1" customWidth="1"/>
    <col min="1179" max="1179" width="9" style="1" bestFit="1" customWidth="1"/>
    <col min="1180" max="1196" width="9.28515625" style="1" customWidth="1"/>
    <col min="1197" max="1202" width="11.140625" style="1" customWidth="1"/>
    <col min="1203" max="1203" width="38.140625" style="1" customWidth="1"/>
    <col min="1204" max="1208" width="7.42578125" style="1" customWidth="1"/>
    <col min="1209" max="1215" width="8.85546875" style="1" customWidth="1"/>
    <col min="1216" max="1216" width="7.42578125" style="1" customWidth="1"/>
    <col min="1217" max="1221" width="8.28515625" style="1" bestFit="1" customWidth="1"/>
    <col min="1222" max="1222" width="8.7109375" style="1" customWidth="1"/>
    <col min="1223" max="1228" width="8.5703125" style="1" customWidth="1"/>
    <col min="1229" max="1231" width="9" style="1" customWidth="1"/>
    <col min="1232" max="1232" width="7.140625" style="1" bestFit="1" customWidth="1"/>
    <col min="1233" max="1235" width="11.42578125" style="1" customWidth="1"/>
    <col min="1236" max="1236" width="10" style="1" customWidth="1"/>
    <col min="1237" max="1237" width="37.28515625" style="1" customWidth="1"/>
    <col min="1238" max="1238" width="8.7109375" style="1" customWidth="1"/>
    <col min="1239" max="1242" width="12.5703125" style="1" customWidth="1"/>
    <col min="1243" max="1243" width="9.7109375" style="1" customWidth="1"/>
    <col min="1244" max="1244" width="9.28515625" style="1" customWidth="1"/>
    <col min="1245" max="1245" width="8.85546875" style="1" customWidth="1"/>
    <col min="1246" max="1246" width="8.140625" style="1" customWidth="1"/>
    <col min="1247" max="1247" width="8.42578125" style="1" customWidth="1"/>
    <col min="1248" max="1248" width="9" style="1" customWidth="1"/>
    <col min="1249" max="1249" width="8.28515625" style="1" customWidth="1"/>
    <col min="1250" max="1250" width="8.85546875" style="1" customWidth="1"/>
    <col min="1251" max="1251" width="8" style="1" customWidth="1"/>
    <col min="1252" max="1253" width="8.7109375" style="1" customWidth="1"/>
    <col min="1254" max="1254" width="8.42578125" style="1" customWidth="1"/>
    <col min="1255" max="1255" width="9.140625" style="1" customWidth="1"/>
    <col min="1256" max="1256" width="9.5703125" style="1" bestFit="1" customWidth="1"/>
    <col min="1257" max="1265" width="9.5703125" style="1" customWidth="1"/>
    <col min="1266" max="1423" width="12.5703125" style="1"/>
    <col min="1424" max="1424" width="43" style="1" customWidth="1"/>
    <col min="1425" max="1428" width="7.42578125" style="1" customWidth="1"/>
    <col min="1429" max="1429" width="7" style="1" customWidth="1"/>
    <col min="1430" max="1432" width="7.42578125" style="1" customWidth="1"/>
    <col min="1433" max="1433" width="8" style="1" bestFit="1" customWidth="1"/>
    <col min="1434" max="1434" width="7.42578125" style="1" customWidth="1"/>
    <col min="1435" max="1435" width="9" style="1" bestFit="1" customWidth="1"/>
    <col min="1436" max="1452" width="9.28515625" style="1" customWidth="1"/>
    <col min="1453" max="1458" width="11.140625" style="1" customWidth="1"/>
    <col min="1459" max="1459" width="38.140625" style="1" customWidth="1"/>
    <col min="1460" max="1464" width="7.42578125" style="1" customWidth="1"/>
    <col min="1465" max="1471" width="8.85546875" style="1" customWidth="1"/>
    <col min="1472" max="1472" width="7.42578125" style="1" customWidth="1"/>
    <col min="1473" max="1477" width="8.28515625" style="1" bestFit="1" customWidth="1"/>
    <col min="1478" max="1478" width="8.7109375" style="1" customWidth="1"/>
    <col min="1479" max="1484" width="8.5703125" style="1" customWidth="1"/>
    <col min="1485" max="1487" width="9" style="1" customWidth="1"/>
    <col min="1488" max="1488" width="7.140625" style="1" bestFit="1" customWidth="1"/>
    <col min="1489" max="1491" width="11.42578125" style="1" customWidth="1"/>
    <col min="1492" max="1492" width="10" style="1" customWidth="1"/>
    <col min="1493" max="1493" width="37.28515625" style="1" customWidth="1"/>
    <col min="1494" max="1494" width="8.7109375" style="1" customWidth="1"/>
    <col min="1495" max="1498" width="12.5703125" style="1" customWidth="1"/>
    <col min="1499" max="1499" width="9.7109375" style="1" customWidth="1"/>
    <col min="1500" max="1500" width="9.28515625" style="1" customWidth="1"/>
    <col min="1501" max="1501" width="8.85546875" style="1" customWidth="1"/>
    <col min="1502" max="1502" width="8.140625" style="1" customWidth="1"/>
    <col min="1503" max="1503" width="8.42578125" style="1" customWidth="1"/>
    <col min="1504" max="1504" width="9" style="1" customWidth="1"/>
    <col min="1505" max="1505" width="8.28515625" style="1" customWidth="1"/>
    <col min="1506" max="1506" width="8.85546875" style="1" customWidth="1"/>
    <col min="1507" max="1507" width="8" style="1" customWidth="1"/>
    <col min="1508" max="1509" width="8.7109375" style="1" customWidth="1"/>
    <col min="1510" max="1510" width="8.42578125" style="1" customWidth="1"/>
    <col min="1511" max="1511" width="9.140625" style="1" customWidth="1"/>
    <col min="1512" max="1512" width="9.5703125" style="1" bestFit="1" customWidth="1"/>
    <col min="1513" max="1521" width="9.5703125" style="1" customWidth="1"/>
    <col min="1522" max="1679" width="12.5703125" style="1"/>
    <col min="1680" max="1680" width="43" style="1" customWidth="1"/>
    <col min="1681" max="1684" width="7.42578125" style="1" customWidth="1"/>
    <col min="1685" max="1685" width="7" style="1" customWidth="1"/>
    <col min="1686" max="1688" width="7.42578125" style="1" customWidth="1"/>
    <col min="1689" max="1689" width="8" style="1" bestFit="1" customWidth="1"/>
    <col min="1690" max="1690" width="7.42578125" style="1" customWidth="1"/>
    <col min="1691" max="1691" width="9" style="1" bestFit="1" customWidth="1"/>
    <col min="1692" max="1708" width="9.28515625" style="1" customWidth="1"/>
    <col min="1709" max="1714" width="11.140625" style="1" customWidth="1"/>
    <col min="1715" max="1715" width="38.140625" style="1" customWidth="1"/>
    <col min="1716" max="1720" width="7.42578125" style="1" customWidth="1"/>
    <col min="1721" max="1727" width="8.85546875" style="1" customWidth="1"/>
    <col min="1728" max="1728" width="7.42578125" style="1" customWidth="1"/>
    <col min="1729" max="1733" width="8.28515625" style="1" bestFit="1" customWidth="1"/>
    <col min="1734" max="1734" width="8.7109375" style="1" customWidth="1"/>
    <col min="1735" max="1740" width="8.5703125" style="1" customWidth="1"/>
    <col min="1741" max="1743" width="9" style="1" customWidth="1"/>
    <col min="1744" max="1744" width="7.140625" style="1" bestFit="1" customWidth="1"/>
    <col min="1745" max="1747" width="11.42578125" style="1" customWidth="1"/>
    <col min="1748" max="1748" width="10" style="1" customWidth="1"/>
    <col min="1749" max="1749" width="37.28515625" style="1" customWidth="1"/>
    <col min="1750" max="1750" width="8.7109375" style="1" customWidth="1"/>
    <col min="1751" max="1754" width="12.5703125" style="1" customWidth="1"/>
    <col min="1755" max="1755" width="9.7109375" style="1" customWidth="1"/>
    <col min="1756" max="1756" width="9.28515625" style="1" customWidth="1"/>
    <col min="1757" max="1757" width="8.85546875" style="1" customWidth="1"/>
    <col min="1758" max="1758" width="8.140625" style="1" customWidth="1"/>
    <col min="1759" max="1759" width="8.42578125" style="1" customWidth="1"/>
    <col min="1760" max="1760" width="9" style="1" customWidth="1"/>
    <col min="1761" max="1761" width="8.28515625" style="1" customWidth="1"/>
    <col min="1762" max="1762" width="8.85546875" style="1" customWidth="1"/>
    <col min="1763" max="1763" width="8" style="1" customWidth="1"/>
    <col min="1764" max="1765" width="8.7109375" style="1" customWidth="1"/>
    <col min="1766" max="1766" width="8.42578125" style="1" customWidth="1"/>
    <col min="1767" max="1767" width="9.140625" style="1" customWidth="1"/>
    <col min="1768" max="1768" width="9.5703125" style="1" bestFit="1" customWidth="1"/>
    <col min="1769" max="1777" width="9.5703125" style="1" customWidth="1"/>
    <col min="1778" max="1935" width="12.5703125" style="1"/>
    <col min="1936" max="1936" width="43" style="1" customWidth="1"/>
    <col min="1937" max="1940" width="7.42578125" style="1" customWidth="1"/>
    <col min="1941" max="1941" width="7" style="1" customWidth="1"/>
    <col min="1942" max="1944" width="7.42578125" style="1" customWidth="1"/>
    <col min="1945" max="1945" width="8" style="1" bestFit="1" customWidth="1"/>
    <col min="1946" max="1946" width="7.42578125" style="1" customWidth="1"/>
    <col min="1947" max="1947" width="9" style="1" bestFit="1" customWidth="1"/>
    <col min="1948" max="1964" width="9.28515625" style="1" customWidth="1"/>
    <col min="1965" max="1970" width="11.140625" style="1" customWidth="1"/>
    <col min="1971" max="1971" width="38.140625" style="1" customWidth="1"/>
    <col min="1972" max="1976" width="7.42578125" style="1" customWidth="1"/>
    <col min="1977" max="1983" width="8.85546875" style="1" customWidth="1"/>
    <col min="1984" max="1984" width="7.42578125" style="1" customWidth="1"/>
    <col min="1985" max="1989" width="8.28515625" style="1" bestFit="1" customWidth="1"/>
    <col min="1990" max="1990" width="8.7109375" style="1" customWidth="1"/>
    <col min="1991" max="1996" width="8.5703125" style="1" customWidth="1"/>
    <col min="1997" max="1999" width="9" style="1" customWidth="1"/>
    <col min="2000" max="2000" width="7.140625" style="1" bestFit="1" customWidth="1"/>
    <col min="2001" max="2003" width="11.42578125" style="1" customWidth="1"/>
    <col min="2004" max="2004" width="10" style="1" customWidth="1"/>
    <col min="2005" max="2005" width="37.28515625" style="1" customWidth="1"/>
    <col min="2006" max="2006" width="8.7109375" style="1" customWidth="1"/>
    <col min="2007" max="2010" width="12.5703125" style="1" customWidth="1"/>
    <col min="2011" max="2011" width="9.7109375" style="1" customWidth="1"/>
    <col min="2012" max="2012" width="9.28515625" style="1" customWidth="1"/>
    <col min="2013" max="2013" width="8.85546875" style="1" customWidth="1"/>
    <col min="2014" max="2014" width="8.140625" style="1" customWidth="1"/>
    <col min="2015" max="2015" width="8.42578125" style="1" customWidth="1"/>
    <col min="2016" max="2016" width="9" style="1" customWidth="1"/>
    <col min="2017" max="2017" width="8.28515625" style="1" customWidth="1"/>
    <col min="2018" max="2018" width="8.85546875" style="1" customWidth="1"/>
    <col min="2019" max="2019" width="8" style="1" customWidth="1"/>
    <col min="2020" max="2021" width="8.7109375" style="1" customWidth="1"/>
    <col min="2022" max="2022" width="8.42578125" style="1" customWidth="1"/>
    <col min="2023" max="2023" width="9.140625" style="1" customWidth="1"/>
    <col min="2024" max="2024" width="9.5703125" style="1" bestFit="1" customWidth="1"/>
    <col min="2025" max="2033" width="9.5703125" style="1" customWidth="1"/>
    <col min="2034" max="2191" width="12.5703125" style="1"/>
    <col min="2192" max="2192" width="43" style="1" customWidth="1"/>
    <col min="2193" max="2196" width="7.42578125" style="1" customWidth="1"/>
    <col min="2197" max="2197" width="7" style="1" customWidth="1"/>
    <col min="2198" max="2200" width="7.42578125" style="1" customWidth="1"/>
    <col min="2201" max="2201" width="8" style="1" bestFit="1" customWidth="1"/>
    <col min="2202" max="2202" width="7.42578125" style="1" customWidth="1"/>
    <col min="2203" max="2203" width="9" style="1" bestFit="1" customWidth="1"/>
    <col min="2204" max="2220" width="9.28515625" style="1" customWidth="1"/>
    <col min="2221" max="2226" width="11.140625" style="1" customWidth="1"/>
    <col min="2227" max="2227" width="38.140625" style="1" customWidth="1"/>
    <col min="2228" max="2232" width="7.42578125" style="1" customWidth="1"/>
    <col min="2233" max="2239" width="8.85546875" style="1" customWidth="1"/>
    <col min="2240" max="2240" width="7.42578125" style="1" customWidth="1"/>
    <col min="2241" max="2245" width="8.28515625" style="1" bestFit="1" customWidth="1"/>
    <col min="2246" max="2246" width="8.7109375" style="1" customWidth="1"/>
    <col min="2247" max="2252" width="8.5703125" style="1" customWidth="1"/>
    <col min="2253" max="2255" width="9" style="1" customWidth="1"/>
    <col min="2256" max="2256" width="7.140625" style="1" bestFit="1" customWidth="1"/>
    <col min="2257" max="2259" width="11.42578125" style="1" customWidth="1"/>
    <col min="2260" max="2260" width="10" style="1" customWidth="1"/>
    <col min="2261" max="2261" width="37.28515625" style="1" customWidth="1"/>
    <col min="2262" max="2262" width="8.7109375" style="1" customWidth="1"/>
    <col min="2263" max="2266" width="12.5703125" style="1" customWidth="1"/>
    <col min="2267" max="2267" width="9.7109375" style="1" customWidth="1"/>
    <col min="2268" max="2268" width="9.28515625" style="1" customWidth="1"/>
    <col min="2269" max="2269" width="8.85546875" style="1" customWidth="1"/>
    <col min="2270" max="2270" width="8.140625" style="1" customWidth="1"/>
    <col min="2271" max="2271" width="8.42578125" style="1" customWidth="1"/>
    <col min="2272" max="2272" width="9" style="1" customWidth="1"/>
    <col min="2273" max="2273" width="8.28515625" style="1" customWidth="1"/>
    <col min="2274" max="2274" width="8.85546875" style="1" customWidth="1"/>
    <col min="2275" max="2275" width="8" style="1" customWidth="1"/>
    <col min="2276" max="2277" width="8.7109375" style="1" customWidth="1"/>
    <col min="2278" max="2278" width="8.42578125" style="1" customWidth="1"/>
    <col min="2279" max="2279" width="9.140625" style="1" customWidth="1"/>
    <col min="2280" max="2280" width="9.5703125" style="1" bestFit="1" customWidth="1"/>
    <col min="2281" max="2289" width="9.5703125" style="1" customWidth="1"/>
    <col min="2290" max="2447" width="12.5703125" style="1"/>
    <col min="2448" max="2448" width="43" style="1" customWidth="1"/>
    <col min="2449" max="2452" width="7.42578125" style="1" customWidth="1"/>
    <col min="2453" max="2453" width="7" style="1" customWidth="1"/>
    <col min="2454" max="2456" width="7.42578125" style="1" customWidth="1"/>
    <col min="2457" max="2457" width="8" style="1" bestFit="1" customWidth="1"/>
    <col min="2458" max="2458" width="7.42578125" style="1" customWidth="1"/>
    <col min="2459" max="2459" width="9" style="1" bestFit="1" customWidth="1"/>
    <col min="2460" max="2476" width="9.28515625" style="1" customWidth="1"/>
    <col min="2477" max="2482" width="11.140625" style="1" customWidth="1"/>
    <col min="2483" max="2483" width="38.140625" style="1" customWidth="1"/>
    <col min="2484" max="2488" width="7.42578125" style="1" customWidth="1"/>
    <col min="2489" max="2495" width="8.85546875" style="1" customWidth="1"/>
    <col min="2496" max="2496" width="7.42578125" style="1" customWidth="1"/>
    <col min="2497" max="2501" width="8.28515625" style="1" bestFit="1" customWidth="1"/>
    <col min="2502" max="2502" width="8.7109375" style="1" customWidth="1"/>
    <col min="2503" max="2508" width="8.5703125" style="1" customWidth="1"/>
    <col min="2509" max="2511" width="9" style="1" customWidth="1"/>
    <col min="2512" max="2512" width="7.140625" style="1" bestFit="1" customWidth="1"/>
    <col min="2513" max="2515" width="11.42578125" style="1" customWidth="1"/>
    <col min="2516" max="2516" width="10" style="1" customWidth="1"/>
    <col min="2517" max="2517" width="37.28515625" style="1" customWidth="1"/>
    <col min="2518" max="2518" width="8.7109375" style="1" customWidth="1"/>
    <col min="2519" max="2522" width="12.5703125" style="1" customWidth="1"/>
    <col min="2523" max="2523" width="9.7109375" style="1" customWidth="1"/>
    <col min="2524" max="2524" width="9.28515625" style="1" customWidth="1"/>
    <col min="2525" max="2525" width="8.85546875" style="1" customWidth="1"/>
    <col min="2526" max="2526" width="8.140625" style="1" customWidth="1"/>
    <col min="2527" max="2527" width="8.42578125" style="1" customWidth="1"/>
    <col min="2528" max="2528" width="9" style="1" customWidth="1"/>
    <col min="2529" max="2529" width="8.28515625" style="1" customWidth="1"/>
    <col min="2530" max="2530" width="8.85546875" style="1" customWidth="1"/>
    <col min="2531" max="2531" width="8" style="1" customWidth="1"/>
    <col min="2532" max="2533" width="8.7109375" style="1" customWidth="1"/>
    <col min="2534" max="2534" width="8.42578125" style="1" customWidth="1"/>
    <col min="2535" max="2535" width="9.140625" style="1" customWidth="1"/>
    <col min="2536" max="2536" width="9.5703125" style="1" bestFit="1" customWidth="1"/>
    <col min="2537" max="2545" width="9.5703125" style="1" customWidth="1"/>
    <col min="2546" max="2703" width="12.5703125" style="1"/>
    <col min="2704" max="2704" width="43" style="1" customWidth="1"/>
    <col min="2705" max="2708" width="7.42578125" style="1" customWidth="1"/>
    <col min="2709" max="2709" width="7" style="1" customWidth="1"/>
    <col min="2710" max="2712" width="7.42578125" style="1" customWidth="1"/>
    <col min="2713" max="2713" width="8" style="1" bestFit="1" customWidth="1"/>
    <col min="2714" max="2714" width="7.42578125" style="1" customWidth="1"/>
    <col min="2715" max="2715" width="9" style="1" bestFit="1" customWidth="1"/>
    <col min="2716" max="2732" width="9.28515625" style="1" customWidth="1"/>
    <col min="2733" max="2738" width="11.140625" style="1" customWidth="1"/>
    <col min="2739" max="2739" width="38.140625" style="1" customWidth="1"/>
    <col min="2740" max="2744" width="7.42578125" style="1" customWidth="1"/>
    <col min="2745" max="2751" width="8.85546875" style="1" customWidth="1"/>
    <col min="2752" max="2752" width="7.42578125" style="1" customWidth="1"/>
    <col min="2753" max="2757" width="8.28515625" style="1" bestFit="1" customWidth="1"/>
    <col min="2758" max="2758" width="8.7109375" style="1" customWidth="1"/>
    <col min="2759" max="2764" width="8.5703125" style="1" customWidth="1"/>
    <col min="2765" max="2767" width="9" style="1" customWidth="1"/>
    <col min="2768" max="2768" width="7.140625" style="1" bestFit="1" customWidth="1"/>
    <col min="2769" max="2771" width="11.42578125" style="1" customWidth="1"/>
    <col min="2772" max="2772" width="10" style="1" customWidth="1"/>
    <col min="2773" max="2773" width="37.28515625" style="1" customWidth="1"/>
    <col min="2774" max="2774" width="8.7109375" style="1" customWidth="1"/>
    <col min="2775" max="2778" width="12.5703125" style="1" customWidth="1"/>
    <col min="2779" max="2779" width="9.7109375" style="1" customWidth="1"/>
    <col min="2780" max="2780" width="9.28515625" style="1" customWidth="1"/>
    <col min="2781" max="2781" width="8.85546875" style="1" customWidth="1"/>
    <col min="2782" max="2782" width="8.140625" style="1" customWidth="1"/>
    <col min="2783" max="2783" width="8.42578125" style="1" customWidth="1"/>
    <col min="2784" max="2784" width="9" style="1" customWidth="1"/>
    <col min="2785" max="2785" width="8.28515625" style="1" customWidth="1"/>
    <col min="2786" max="2786" width="8.85546875" style="1" customWidth="1"/>
    <col min="2787" max="2787" width="8" style="1" customWidth="1"/>
    <col min="2788" max="2789" width="8.7109375" style="1" customWidth="1"/>
    <col min="2790" max="2790" width="8.42578125" style="1" customWidth="1"/>
    <col min="2791" max="2791" width="9.140625" style="1" customWidth="1"/>
    <col min="2792" max="2792" width="9.5703125" style="1" bestFit="1" customWidth="1"/>
    <col min="2793" max="2801" width="9.5703125" style="1" customWidth="1"/>
    <col min="2802" max="2959" width="12.5703125" style="1"/>
    <col min="2960" max="2960" width="43" style="1" customWidth="1"/>
    <col min="2961" max="2964" width="7.42578125" style="1" customWidth="1"/>
    <col min="2965" max="2965" width="7" style="1" customWidth="1"/>
    <col min="2966" max="2968" width="7.42578125" style="1" customWidth="1"/>
    <col min="2969" max="2969" width="8" style="1" bestFit="1" customWidth="1"/>
    <col min="2970" max="2970" width="7.42578125" style="1" customWidth="1"/>
    <col min="2971" max="2971" width="9" style="1" bestFit="1" customWidth="1"/>
    <col min="2972" max="2988" width="9.28515625" style="1" customWidth="1"/>
    <col min="2989" max="2994" width="11.140625" style="1" customWidth="1"/>
    <col min="2995" max="2995" width="38.140625" style="1" customWidth="1"/>
    <col min="2996" max="3000" width="7.42578125" style="1" customWidth="1"/>
    <col min="3001" max="3007" width="8.85546875" style="1" customWidth="1"/>
    <col min="3008" max="3008" width="7.42578125" style="1" customWidth="1"/>
    <col min="3009" max="3013" width="8.28515625" style="1" bestFit="1" customWidth="1"/>
    <col min="3014" max="3014" width="8.7109375" style="1" customWidth="1"/>
    <col min="3015" max="3020" width="8.5703125" style="1" customWidth="1"/>
    <col min="3021" max="3023" width="9" style="1" customWidth="1"/>
    <col min="3024" max="3024" width="7.140625" style="1" bestFit="1" customWidth="1"/>
    <col min="3025" max="3027" width="11.42578125" style="1" customWidth="1"/>
    <col min="3028" max="3028" width="10" style="1" customWidth="1"/>
    <col min="3029" max="3029" width="37.28515625" style="1" customWidth="1"/>
    <col min="3030" max="3030" width="8.7109375" style="1" customWidth="1"/>
    <col min="3031" max="3034" width="12.5703125" style="1" customWidth="1"/>
    <col min="3035" max="3035" width="9.7109375" style="1" customWidth="1"/>
    <col min="3036" max="3036" width="9.28515625" style="1" customWidth="1"/>
    <col min="3037" max="3037" width="8.85546875" style="1" customWidth="1"/>
    <col min="3038" max="3038" width="8.140625" style="1" customWidth="1"/>
    <col min="3039" max="3039" width="8.42578125" style="1" customWidth="1"/>
    <col min="3040" max="3040" width="9" style="1" customWidth="1"/>
    <col min="3041" max="3041" width="8.28515625" style="1" customWidth="1"/>
    <col min="3042" max="3042" width="8.85546875" style="1" customWidth="1"/>
    <col min="3043" max="3043" width="8" style="1" customWidth="1"/>
    <col min="3044" max="3045" width="8.7109375" style="1" customWidth="1"/>
    <col min="3046" max="3046" width="8.42578125" style="1" customWidth="1"/>
    <col min="3047" max="3047" width="9.140625" style="1" customWidth="1"/>
    <col min="3048" max="3048" width="9.5703125" style="1" bestFit="1" customWidth="1"/>
    <col min="3049" max="3057" width="9.5703125" style="1" customWidth="1"/>
    <col min="3058" max="3215" width="12.5703125" style="1"/>
    <col min="3216" max="3216" width="43" style="1" customWidth="1"/>
    <col min="3217" max="3220" width="7.42578125" style="1" customWidth="1"/>
    <col min="3221" max="3221" width="7" style="1" customWidth="1"/>
    <col min="3222" max="3224" width="7.42578125" style="1" customWidth="1"/>
    <col min="3225" max="3225" width="8" style="1" bestFit="1" customWidth="1"/>
    <col min="3226" max="3226" width="7.42578125" style="1" customWidth="1"/>
    <col min="3227" max="3227" width="9" style="1" bestFit="1" customWidth="1"/>
    <col min="3228" max="3244" width="9.28515625" style="1" customWidth="1"/>
    <col min="3245" max="3250" width="11.140625" style="1" customWidth="1"/>
    <col min="3251" max="3251" width="38.140625" style="1" customWidth="1"/>
    <col min="3252" max="3256" width="7.42578125" style="1" customWidth="1"/>
    <col min="3257" max="3263" width="8.85546875" style="1" customWidth="1"/>
    <col min="3264" max="3264" width="7.42578125" style="1" customWidth="1"/>
    <col min="3265" max="3269" width="8.28515625" style="1" bestFit="1" customWidth="1"/>
    <col min="3270" max="3270" width="8.7109375" style="1" customWidth="1"/>
    <col min="3271" max="3276" width="8.5703125" style="1" customWidth="1"/>
    <col min="3277" max="3279" width="9" style="1" customWidth="1"/>
    <col min="3280" max="3280" width="7.140625" style="1" bestFit="1" customWidth="1"/>
    <col min="3281" max="3283" width="11.42578125" style="1" customWidth="1"/>
    <col min="3284" max="3284" width="10" style="1" customWidth="1"/>
    <col min="3285" max="3285" width="37.28515625" style="1" customWidth="1"/>
    <col min="3286" max="3286" width="8.7109375" style="1" customWidth="1"/>
    <col min="3287" max="3290" width="12.5703125" style="1" customWidth="1"/>
    <col min="3291" max="3291" width="9.7109375" style="1" customWidth="1"/>
    <col min="3292" max="3292" width="9.28515625" style="1" customWidth="1"/>
    <col min="3293" max="3293" width="8.85546875" style="1" customWidth="1"/>
    <col min="3294" max="3294" width="8.140625" style="1" customWidth="1"/>
    <col min="3295" max="3295" width="8.42578125" style="1" customWidth="1"/>
    <col min="3296" max="3296" width="9" style="1" customWidth="1"/>
    <col min="3297" max="3297" width="8.28515625" style="1" customWidth="1"/>
    <col min="3298" max="3298" width="8.85546875" style="1" customWidth="1"/>
    <col min="3299" max="3299" width="8" style="1" customWidth="1"/>
    <col min="3300" max="3301" width="8.7109375" style="1" customWidth="1"/>
    <col min="3302" max="3302" width="8.42578125" style="1" customWidth="1"/>
    <col min="3303" max="3303" width="9.140625" style="1" customWidth="1"/>
    <col min="3304" max="3304" width="9.5703125" style="1" bestFit="1" customWidth="1"/>
    <col min="3305" max="3313" width="9.5703125" style="1" customWidth="1"/>
    <col min="3314" max="3471" width="12.5703125" style="1"/>
    <col min="3472" max="3472" width="43" style="1" customWidth="1"/>
    <col min="3473" max="3476" width="7.42578125" style="1" customWidth="1"/>
    <col min="3477" max="3477" width="7" style="1" customWidth="1"/>
    <col min="3478" max="3480" width="7.42578125" style="1" customWidth="1"/>
    <col min="3481" max="3481" width="8" style="1" bestFit="1" customWidth="1"/>
    <col min="3482" max="3482" width="7.42578125" style="1" customWidth="1"/>
    <col min="3483" max="3483" width="9" style="1" bestFit="1" customWidth="1"/>
    <col min="3484" max="3500" width="9.28515625" style="1" customWidth="1"/>
    <col min="3501" max="3506" width="11.140625" style="1" customWidth="1"/>
    <col min="3507" max="3507" width="38.140625" style="1" customWidth="1"/>
    <col min="3508" max="3512" width="7.42578125" style="1" customWidth="1"/>
    <col min="3513" max="3519" width="8.85546875" style="1" customWidth="1"/>
    <col min="3520" max="3520" width="7.42578125" style="1" customWidth="1"/>
    <col min="3521" max="3525" width="8.28515625" style="1" bestFit="1" customWidth="1"/>
    <col min="3526" max="3526" width="8.7109375" style="1" customWidth="1"/>
    <col min="3527" max="3532" width="8.5703125" style="1" customWidth="1"/>
    <col min="3533" max="3535" width="9" style="1" customWidth="1"/>
    <col min="3536" max="3536" width="7.140625" style="1" bestFit="1" customWidth="1"/>
    <col min="3537" max="3539" width="11.42578125" style="1" customWidth="1"/>
    <col min="3540" max="3540" width="10" style="1" customWidth="1"/>
    <col min="3541" max="3541" width="37.28515625" style="1" customWidth="1"/>
    <col min="3542" max="3542" width="8.7109375" style="1" customWidth="1"/>
    <col min="3543" max="3546" width="12.5703125" style="1" customWidth="1"/>
    <col min="3547" max="3547" width="9.7109375" style="1" customWidth="1"/>
    <col min="3548" max="3548" width="9.28515625" style="1" customWidth="1"/>
    <col min="3549" max="3549" width="8.85546875" style="1" customWidth="1"/>
    <col min="3550" max="3550" width="8.140625" style="1" customWidth="1"/>
    <col min="3551" max="3551" width="8.42578125" style="1" customWidth="1"/>
    <col min="3552" max="3552" width="9" style="1" customWidth="1"/>
    <col min="3553" max="3553" width="8.28515625" style="1" customWidth="1"/>
    <col min="3554" max="3554" width="8.85546875" style="1" customWidth="1"/>
    <col min="3555" max="3555" width="8" style="1" customWidth="1"/>
    <col min="3556" max="3557" width="8.7109375" style="1" customWidth="1"/>
    <col min="3558" max="3558" width="8.42578125" style="1" customWidth="1"/>
    <col min="3559" max="3559" width="9.140625" style="1" customWidth="1"/>
    <col min="3560" max="3560" width="9.5703125" style="1" bestFit="1" customWidth="1"/>
    <col min="3561" max="3569" width="9.5703125" style="1" customWidth="1"/>
    <col min="3570" max="3727" width="12.5703125" style="1"/>
    <col min="3728" max="3728" width="43" style="1" customWidth="1"/>
    <col min="3729" max="3732" width="7.42578125" style="1" customWidth="1"/>
    <col min="3733" max="3733" width="7" style="1" customWidth="1"/>
    <col min="3734" max="3736" width="7.42578125" style="1" customWidth="1"/>
    <col min="3737" max="3737" width="8" style="1" bestFit="1" customWidth="1"/>
    <col min="3738" max="3738" width="7.42578125" style="1" customWidth="1"/>
    <col min="3739" max="3739" width="9" style="1" bestFit="1" customWidth="1"/>
    <col min="3740" max="3756" width="9.28515625" style="1" customWidth="1"/>
    <col min="3757" max="3762" width="11.140625" style="1" customWidth="1"/>
    <col min="3763" max="3763" width="38.140625" style="1" customWidth="1"/>
    <col min="3764" max="3768" width="7.42578125" style="1" customWidth="1"/>
    <col min="3769" max="3775" width="8.85546875" style="1" customWidth="1"/>
    <col min="3776" max="3776" width="7.42578125" style="1" customWidth="1"/>
    <col min="3777" max="3781" width="8.28515625" style="1" bestFit="1" customWidth="1"/>
    <col min="3782" max="3782" width="8.7109375" style="1" customWidth="1"/>
    <col min="3783" max="3788" width="8.5703125" style="1" customWidth="1"/>
    <col min="3789" max="3791" width="9" style="1" customWidth="1"/>
    <col min="3792" max="3792" width="7.140625" style="1" bestFit="1" customWidth="1"/>
    <col min="3793" max="3795" width="11.42578125" style="1" customWidth="1"/>
    <col min="3796" max="3796" width="10" style="1" customWidth="1"/>
    <col min="3797" max="3797" width="37.28515625" style="1" customWidth="1"/>
    <col min="3798" max="3798" width="8.7109375" style="1" customWidth="1"/>
    <col min="3799" max="3802" width="12.5703125" style="1" customWidth="1"/>
    <col min="3803" max="3803" width="9.7109375" style="1" customWidth="1"/>
    <col min="3804" max="3804" width="9.28515625" style="1" customWidth="1"/>
    <col min="3805" max="3805" width="8.85546875" style="1" customWidth="1"/>
    <col min="3806" max="3806" width="8.140625" style="1" customWidth="1"/>
    <col min="3807" max="3807" width="8.42578125" style="1" customWidth="1"/>
    <col min="3808" max="3808" width="9" style="1" customWidth="1"/>
    <col min="3809" max="3809" width="8.28515625" style="1" customWidth="1"/>
    <col min="3810" max="3810" width="8.85546875" style="1" customWidth="1"/>
    <col min="3811" max="3811" width="8" style="1" customWidth="1"/>
    <col min="3812" max="3813" width="8.7109375" style="1" customWidth="1"/>
    <col min="3814" max="3814" width="8.42578125" style="1" customWidth="1"/>
    <col min="3815" max="3815" width="9.140625" style="1" customWidth="1"/>
    <col min="3816" max="3816" width="9.5703125" style="1" bestFit="1" customWidth="1"/>
    <col min="3817" max="3825" width="9.5703125" style="1" customWidth="1"/>
    <col min="3826" max="3983" width="12.5703125" style="1"/>
    <col min="3984" max="3984" width="43" style="1" customWidth="1"/>
    <col min="3985" max="3988" width="7.42578125" style="1" customWidth="1"/>
    <col min="3989" max="3989" width="7" style="1" customWidth="1"/>
    <col min="3990" max="3992" width="7.42578125" style="1" customWidth="1"/>
    <col min="3993" max="3993" width="8" style="1" bestFit="1" customWidth="1"/>
    <col min="3994" max="3994" width="7.42578125" style="1" customWidth="1"/>
    <col min="3995" max="3995" width="9" style="1" bestFit="1" customWidth="1"/>
    <col min="3996" max="4012" width="9.28515625" style="1" customWidth="1"/>
    <col min="4013" max="4018" width="11.140625" style="1" customWidth="1"/>
    <col min="4019" max="4019" width="38.140625" style="1" customWidth="1"/>
    <col min="4020" max="4024" width="7.42578125" style="1" customWidth="1"/>
    <col min="4025" max="4031" width="8.85546875" style="1" customWidth="1"/>
    <col min="4032" max="4032" width="7.42578125" style="1" customWidth="1"/>
    <col min="4033" max="4037" width="8.28515625" style="1" bestFit="1" customWidth="1"/>
    <col min="4038" max="4038" width="8.7109375" style="1" customWidth="1"/>
    <col min="4039" max="4044" width="8.5703125" style="1" customWidth="1"/>
    <col min="4045" max="4047" width="9" style="1" customWidth="1"/>
    <col min="4048" max="4048" width="7.140625" style="1" bestFit="1" customWidth="1"/>
    <col min="4049" max="4051" width="11.42578125" style="1" customWidth="1"/>
    <col min="4052" max="4052" width="10" style="1" customWidth="1"/>
    <col min="4053" max="4053" width="37.28515625" style="1" customWidth="1"/>
    <col min="4054" max="4054" width="8.7109375" style="1" customWidth="1"/>
    <col min="4055" max="4058" width="12.5703125" style="1" customWidth="1"/>
    <col min="4059" max="4059" width="9.7109375" style="1" customWidth="1"/>
    <col min="4060" max="4060" width="9.28515625" style="1" customWidth="1"/>
    <col min="4061" max="4061" width="8.85546875" style="1" customWidth="1"/>
    <col min="4062" max="4062" width="8.140625" style="1" customWidth="1"/>
    <col min="4063" max="4063" width="8.42578125" style="1" customWidth="1"/>
    <col min="4064" max="4064" width="9" style="1" customWidth="1"/>
    <col min="4065" max="4065" width="8.28515625" style="1" customWidth="1"/>
    <col min="4066" max="4066" width="8.85546875" style="1" customWidth="1"/>
    <col min="4067" max="4067" width="8" style="1" customWidth="1"/>
    <col min="4068" max="4069" width="8.7109375" style="1" customWidth="1"/>
    <col min="4070" max="4070" width="8.42578125" style="1" customWidth="1"/>
    <col min="4071" max="4071" width="9.140625" style="1" customWidth="1"/>
    <col min="4072" max="4072" width="9.5703125" style="1" bestFit="1" customWidth="1"/>
    <col min="4073" max="4081" width="9.5703125" style="1" customWidth="1"/>
    <col min="4082" max="4239" width="12.5703125" style="1"/>
    <col min="4240" max="4240" width="43" style="1" customWidth="1"/>
    <col min="4241" max="4244" width="7.42578125" style="1" customWidth="1"/>
    <col min="4245" max="4245" width="7" style="1" customWidth="1"/>
    <col min="4246" max="4248" width="7.42578125" style="1" customWidth="1"/>
    <col min="4249" max="4249" width="8" style="1" bestFit="1" customWidth="1"/>
    <col min="4250" max="4250" width="7.42578125" style="1" customWidth="1"/>
    <col min="4251" max="4251" width="9" style="1" bestFit="1" customWidth="1"/>
    <col min="4252" max="4268" width="9.28515625" style="1" customWidth="1"/>
    <col min="4269" max="4274" width="11.140625" style="1" customWidth="1"/>
    <col min="4275" max="4275" width="38.140625" style="1" customWidth="1"/>
    <col min="4276" max="4280" width="7.42578125" style="1" customWidth="1"/>
    <col min="4281" max="4287" width="8.85546875" style="1" customWidth="1"/>
    <col min="4288" max="4288" width="7.42578125" style="1" customWidth="1"/>
    <col min="4289" max="4293" width="8.28515625" style="1" bestFit="1" customWidth="1"/>
    <col min="4294" max="4294" width="8.7109375" style="1" customWidth="1"/>
    <col min="4295" max="4300" width="8.5703125" style="1" customWidth="1"/>
    <col min="4301" max="4303" width="9" style="1" customWidth="1"/>
    <col min="4304" max="4304" width="7.140625" style="1" bestFit="1" customWidth="1"/>
    <col min="4305" max="4307" width="11.42578125" style="1" customWidth="1"/>
    <col min="4308" max="4308" width="10" style="1" customWidth="1"/>
    <col min="4309" max="4309" width="37.28515625" style="1" customWidth="1"/>
    <col min="4310" max="4310" width="8.7109375" style="1" customWidth="1"/>
    <col min="4311" max="4314" width="12.5703125" style="1" customWidth="1"/>
    <col min="4315" max="4315" width="9.7109375" style="1" customWidth="1"/>
    <col min="4316" max="4316" width="9.28515625" style="1" customWidth="1"/>
    <col min="4317" max="4317" width="8.85546875" style="1" customWidth="1"/>
    <col min="4318" max="4318" width="8.140625" style="1" customWidth="1"/>
    <col min="4319" max="4319" width="8.42578125" style="1" customWidth="1"/>
    <col min="4320" max="4320" width="9" style="1" customWidth="1"/>
    <col min="4321" max="4321" width="8.28515625" style="1" customWidth="1"/>
    <col min="4322" max="4322" width="8.85546875" style="1" customWidth="1"/>
    <col min="4323" max="4323" width="8" style="1" customWidth="1"/>
    <col min="4324" max="4325" width="8.7109375" style="1" customWidth="1"/>
    <col min="4326" max="4326" width="8.42578125" style="1" customWidth="1"/>
    <col min="4327" max="4327" width="9.140625" style="1" customWidth="1"/>
    <col min="4328" max="4328" width="9.5703125" style="1" bestFit="1" customWidth="1"/>
    <col min="4329" max="4337" width="9.5703125" style="1" customWidth="1"/>
    <col min="4338" max="4495" width="12.5703125" style="1"/>
    <col min="4496" max="4496" width="43" style="1" customWidth="1"/>
    <col min="4497" max="4500" width="7.42578125" style="1" customWidth="1"/>
    <col min="4501" max="4501" width="7" style="1" customWidth="1"/>
    <col min="4502" max="4504" width="7.42578125" style="1" customWidth="1"/>
    <col min="4505" max="4505" width="8" style="1" bestFit="1" customWidth="1"/>
    <col min="4506" max="4506" width="7.42578125" style="1" customWidth="1"/>
    <col min="4507" max="4507" width="9" style="1" bestFit="1" customWidth="1"/>
    <col min="4508" max="4524" width="9.28515625" style="1" customWidth="1"/>
    <col min="4525" max="4530" width="11.140625" style="1" customWidth="1"/>
    <col min="4531" max="4531" width="38.140625" style="1" customWidth="1"/>
    <col min="4532" max="4536" width="7.42578125" style="1" customWidth="1"/>
    <col min="4537" max="4543" width="8.85546875" style="1" customWidth="1"/>
    <col min="4544" max="4544" width="7.42578125" style="1" customWidth="1"/>
    <col min="4545" max="4549" width="8.28515625" style="1" bestFit="1" customWidth="1"/>
    <col min="4550" max="4550" width="8.7109375" style="1" customWidth="1"/>
    <col min="4551" max="4556" width="8.5703125" style="1" customWidth="1"/>
    <col min="4557" max="4559" width="9" style="1" customWidth="1"/>
    <col min="4560" max="4560" width="7.140625" style="1" bestFit="1" customWidth="1"/>
    <col min="4561" max="4563" width="11.42578125" style="1" customWidth="1"/>
    <col min="4564" max="4564" width="10" style="1" customWidth="1"/>
    <col min="4565" max="4565" width="37.28515625" style="1" customWidth="1"/>
    <col min="4566" max="4566" width="8.7109375" style="1" customWidth="1"/>
    <col min="4567" max="4570" width="12.5703125" style="1" customWidth="1"/>
    <col min="4571" max="4571" width="9.7109375" style="1" customWidth="1"/>
    <col min="4572" max="4572" width="9.28515625" style="1" customWidth="1"/>
    <col min="4573" max="4573" width="8.85546875" style="1" customWidth="1"/>
    <col min="4574" max="4574" width="8.140625" style="1" customWidth="1"/>
    <col min="4575" max="4575" width="8.42578125" style="1" customWidth="1"/>
    <col min="4576" max="4576" width="9" style="1" customWidth="1"/>
    <col min="4577" max="4577" width="8.28515625" style="1" customWidth="1"/>
    <col min="4578" max="4578" width="8.85546875" style="1" customWidth="1"/>
    <col min="4579" max="4579" width="8" style="1" customWidth="1"/>
    <col min="4580" max="4581" width="8.7109375" style="1" customWidth="1"/>
    <col min="4582" max="4582" width="8.42578125" style="1" customWidth="1"/>
    <col min="4583" max="4583" width="9.140625" style="1" customWidth="1"/>
    <col min="4584" max="4584" width="9.5703125" style="1" bestFit="1" customWidth="1"/>
    <col min="4585" max="4593" width="9.5703125" style="1" customWidth="1"/>
    <col min="4594" max="4751" width="12.5703125" style="1"/>
    <col min="4752" max="4752" width="43" style="1" customWidth="1"/>
    <col min="4753" max="4756" width="7.42578125" style="1" customWidth="1"/>
    <col min="4757" max="4757" width="7" style="1" customWidth="1"/>
    <col min="4758" max="4760" width="7.42578125" style="1" customWidth="1"/>
    <col min="4761" max="4761" width="8" style="1" bestFit="1" customWidth="1"/>
    <col min="4762" max="4762" width="7.42578125" style="1" customWidth="1"/>
    <col min="4763" max="4763" width="9" style="1" bestFit="1" customWidth="1"/>
    <col min="4764" max="4780" width="9.28515625" style="1" customWidth="1"/>
    <col min="4781" max="4786" width="11.140625" style="1" customWidth="1"/>
    <col min="4787" max="4787" width="38.140625" style="1" customWidth="1"/>
    <col min="4788" max="4792" width="7.42578125" style="1" customWidth="1"/>
    <col min="4793" max="4799" width="8.85546875" style="1" customWidth="1"/>
    <col min="4800" max="4800" width="7.42578125" style="1" customWidth="1"/>
    <col min="4801" max="4805" width="8.28515625" style="1" bestFit="1" customWidth="1"/>
    <col min="4806" max="4806" width="8.7109375" style="1" customWidth="1"/>
    <col min="4807" max="4812" width="8.5703125" style="1" customWidth="1"/>
    <col min="4813" max="4815" width="9" style="1" customWidth="1"/>
    <col min="4816" max="4816" width="7.140625" style="1" bestFit="1" customWidth="1"/>
    <col min="4817" max="4819" width="11.42578125" style="1" customWidth="1"/>
    <col min="4820" max="4820" width="10" style="1" customWidth="1"/>
    <col min="4821" max="4821" width="37.28515625" style="1" customWidth="1"/>
    <col min="4822" max="4822" width="8.7109375" style="1" customWidth="1"/>
    <col min="4823" max="4826" width="12.5703125" style="1" customWidth="1"/>
    <col min="4827" max="4827" width="9.7109375" style="1" customWidth="1"/>
    <col min="4828" max="4828" width="9.28515625" style="1" customWidth="1"/>
    <col min="4829" max="4829" width="8.85546875" style="1" customWidth="1"/>
    <col min="4830" max="4830" width="8.140625" style="1" customWidth="1"/>
    <col min="4831" max="4831" width="8.42578125" style="1" customWidth="1"/>
    <col min="4832" max="4832" width="9" style="1" customWidth="1"/>
    <col min="4833" max="4833" width="8.28515625" style="1" customWidth="1"/>
    <col min="4834" max="4834" width="8.85546875" style="1" customWidth="1"/>
    <col min="4835" max="4835" width="8" style="1" customWidth="1"/>
    <col min="4836" max="4837" width="8.7109375" style="1" customWidth="1"/>
    <col min="4838" max="4838" width="8.42578125" style="1" customWidth="1"/>
    <col min="4839" max="4839" width="9.140625" style="1" customWidth="1"/>
    <col min="4840" max="4840" width="9.5703125" style="1" bestFit="1" customWidth="1"/>
    <col min="4841" max="4849" width="9.5703125" style="1" customWidth="1"/>
    <col min="4850" max="5007" width="12.5703125" style="1"/>
    <col min="5008" max="5008" width="43" style="1" customWidth="1"/>
    <col min="5009" max="5012" width="7.42578125" style="1" customWidth="1"/>
    <col min="5013" max="5013" width="7" style="1" customWidth="1"/>
    <col min="5014" max="5016" width="7.42578125" style="1" customWidth="1"/>
    <col min="5017" max="5017" width="8" style="1" bestFit="1" customWidth="1"/>
    <col min="5018" max="5018" width="7.42578125" style="1" customWidth="1"/>
    <col min="5019" max="5019" width="9" style="1" bestFit="1" customWidth="1"/>
    <col min="5020" max="5036" width="9.28515625" style="1" customWidth="1"/>
    <col min="5037" max="5042" width="11.140625" style="1" customWidth="1"/>
    <col min="5043" max="5043" width="38.140625" style="1" customWidth="1"/>
    <col min="5044" max="5048" width="7.42578125" style="1" customWidth="1"/>
    <col min="5049" max="5055" width="8.85546875" style="1" customWidth="1"/>
    <col min="5056" max="5056" width="7.42578125" style="1" customWidth="1"/>
    <col min="5057" max="5061" width="8.28515625" style="1" bestFit="1" customWidth="1"/>
    <col min="5062" max="5062" width="8.7109375" style="1" customWidth="1"/>
    <col min="5063" max="5068" width="8.5703125" style="1" customWidth="1"/>
    <col min="5069" max="5071" width="9" style="1" customWidth="1"/>
    <col min="5072" max="5072" width="7.140625" style="1" bestFit="1" customWidth="1"/>
    <col min="5073" max="5075" width="11.42578125" style="1" customWidth="1"/>
    <col min="5076" max="5076" width="10" style="1" customWidth="1"/>
    <col min="5077" max="5077" width="37.28515625" style="1" customWidth="1"/>
    <col min="5078" max="5078" width="8.7109375" style="1" customWidth="1"/>
    <col min="5079" max="5082" width="12.5703125" style="1" customWidth="1"/>
    <col min="5083" max="5083" width="9.7109375" style="1" customWidth="1"/>
    <col min="5084" max="5084" width="9.28515625" style="1" customWidth="1"/>
    <col min="5085" max="5085" width="8.85546875" style="1" customWidth="1"/>
    <col min="5086" max="5086" width="8.140625" style="1" customWidth="1"/>
    <col min="5087" max="5087" width="8.42578125" style="1" customWidth="1"/>
    <col min="5088" max="5088" width="9" style="1" customWidth="1"/>
    <col min="5089" max="5089" width="8.28515625" style="1" customWidth="1"/>
    <col min="5090" max="5090" width="8.85546875" style="1" customWidth="1"/>
    <col min="5091" max="5091" width="8" style="1" customWidth="1"/>
    <col min="5092" max="5093" width="8.7109375" style="1" customWidth="1"/>
    <col min="5094" max="5094" width="8.42578125" style="1" customWidth="1"/>
    <col min="5095" max="5095" width="9.140625" style="1" customWidth="1"/>
    <col min="5096" max="5096" width="9.5703125" style="1" bestFit="1" customWidth="1"/>
    <col min="5097" max="5105" width="9.5703125" style="1" customWidth="1"/>
    <col min="5106" max="5263" width="12.5703125" style="1"/>
    <col min="5264" max="5264" width="43" style="1" customWidth="1"/>
    <col min="5265" max="5268" width="7.42578125" style="1" customWidth="1"/>
    <col min="5269" max="5269" width="7" style="1" customWidth="1"/>
    <col min="5270" max="5272" width="7.42578125" style="1" customWidth="1"/>
    <col min="5273" max="5273" width="8" style="1" bestFit="1" customWidth="1"/>
    <col min="5274" max="5274" width="7.42578125" style="1" customWidth="1"/>
    <col min="5275" max="5275" width="9" style="1" bestFit="1" customWidth="1"/>
    <col min="5276" max="5292" width="9.28515625" style="1" customWidth="1"/>
    <col min="5293" max="5298" width="11.140625" style="1" customWidth="1"/>
    <col min="5299" max="5299" width="38.140625" style="1" customWidth="1"/>
    <col min="5300" max="5304" width="7.42578125" style="1" customWidth="1"/>
    <col min="5305" max="5311" width="8.85546875" style="1" customWidth="1"/>
    <col min="5312" max="5312" width="7.42578125" style="1" customWidth="1"/>
    <col min="5313" max="5317" width="8.28515625" style="1" bestFit="1" customWidth="1"/>
    <col min="5318" max="5318" width="8.7109375" style="1" customWidth="1"/>
    <col min="5319" max="5324" width="8.5703125" style="1" customWidth="1"/>
    <col min="5325" max="5327" width="9" style="1" customWidth="1"/>
    <col min="5328" max="5328" width="7.140625" style="1" bestFit="1" customWidth="1"/>
    <col min="5329" max="5331" width="11.42578125" style="1" customWidth="1"/>
    <col min="5332" max="5332" width="10" style="1" customWidth="1"/>
    <col min="5333" max="5333" width="37.28515625" style="1" customWidth="1"/>
    <col min="5334" max="5334" width="8.7109375" style="1" customWidth="1"/>
    <col min="5335" max="5338" width="12.5703125" style="1" customWidth="1"/>
    <col min="5339" max="5339" width="9.7109375" style="1" customWidth="1"/>
    <col min="5340" max="5340" width="9.28515625" style="1" customWidth="1"/>
    <col min="5341" max="5341" width="8.85546875" style="1" customWidth="1"/>
    <col min="5342" max="5342" width="8.140625" style="1" customWidth="1"/>
    <col min="5343" max="5343" width="8.42578125" style="1" customWidth="1"/>
    <col min="5344" max="5344" width="9" style="1" customWidth="1"/>
    <col min="5345" max="5345" width="8.28515625" style="1" customWidth="1"/>
    <col min="5346" max="5346" width="8.85546875" style="1" customWidth="1"/>
    <col min="5347" max="5347" width="8" style="1" customWidth="1"/>
    <col min="5348" max="5349" width="8.7109375" style="1" customWidth="1"/>
    <col min="5350" max="5350" width="8.42578125" style="1" customWidth="1"/>
    <col min="5351" max="5351" width="9.140625" style="1" customWidth="1"/>
    <col min="5352" max="5352" width="9.5703125" style="1" bestFit="1" customWidth="1"/>
    <col min="5353" max="5361" width="9.5703125" style="1" customWidth="1"/>
    <col min="5362" max="5519" width="12.5703125" style="1"/>
    <col min="5520" max="5520" width="43" style="1" customWidth="1"/>
    <col min="5521" max="5524" width="7.42578125" style="1" customWidth="1"/>
    <col min="5525" max="5525" width="7" style="1" customWidth="1"/>
    <col min="5526" max="5528" width="7.42578125" style="1" customWidth="1"/>
    <col min="5529" max="5529" width="8" style="1" bestFit="1" customWidth="1"/>
    <col min="5530" max="5530" width="7.42578125" style="1" customWidth="1"/>
    <col min="5531" max="5531" width="9" style="1" bestFit="1" customWidth="1"/>
    <col min="5532" max="5548" width="9.28515625" style="1" customWidth="1"/>
    <col min="5549" max="5554" width="11.140625" style="1" customWidth="1"/>
    <col min="5555" max="5555" width="38.140625" style="1" customWidth="1"/>
    <col min="5556" max="5560" width="7.42578125" style="1" customWidth="1"/>
    <col min="5561" max="5567" width="8.85546875" style="1" customWidth="1"/>
    <col min="5568" max="5568" width="7.42578125" style="1" customWidth="1"/>
    <col min="5569" max="5573" width="8.28515625" style="1" bestFit="1" customWidth="1"/>
    <col min="5574" max="5574" width="8.7109375" style="1" customWidth="1"/>
    <col min="5575" max="5580" width="8.5703125" style="1" customWidth="1"/>
    <col min="5581" max="5583" width="9" style="1" customWidth="1"/>
    <col min="5584" max="5584" width="7.140625" style="1" bestFit="1" customWidth="1"/>
    <col min="5585" max="5587" width="11.42578125" style="1" customWidth="1"/>
    <col min="5588" max="5588" width="10" style="1" customWidth="1"/>
    <col min="5589" max="5589" width="37.28515625" style="1" customWidth="1"/>
    <col min="5590" max="5590" width="8.7109375" style="1" customWidth="1"/>
    <col min="5591" max="5594" width="12.5703125" style="1" customWidth="1"/>
    <col min="5595" max="5595" width="9.7109375" style="1" customWidth="1"/>
    <col min="5596" max="5596" width="9.28515625" style="1" customWidth="1"/>
    <col min="5597" max="5597" width="8.85546875" style="1" customWidth="1"/>
    <col min="5598" max="5598" width="8.140625" style="1" customWidth="1"/>
    <col min="5599" max="5599" width="8.42578125" style="1" customWidth="1"/>
    <col min="5600" max="5600" width="9" style="1" customWidth="1"/>
    <col min="5601" max="5601" width="8.28515625" style="1" customWidth="1"/>
    <col min="5602" max="5602" width="8.85546875" style="1" customWidth="1"/>
    <col min="5603" max="5603" width="8" style="1" customWidth="1"/>
    <col min="5604" max="5605" width="8.7109375" style="1" customWidth="1"/>
    <col min="5606" max="5606" width="8.42578125" style="1" customWidth="1"/>
    <col min="5607" max="5607" width="9.140625" style="1" customWidth="1"/>
    <col min="5608" max="5608" width="9.5703125" style="1" bestFit="1" customWidth="1"/>
    <col min="5609" max="5617" width="9.5703125" style="1" customWidth="1"/>
    <col min="5618" max="5775" width="12.5703125" style="1"/>
    <col min="5776" max="5776" width="43" style="1" customWidth="1"/>
    <col min="5777" max="5780" width="7.42578125" style="1" customWidth="1"/>
    <col min="5781" max="5781" width="7" style="1" customWidth="1"/>
    <col min="5782" max="5784" width="7.42578125" style="1" customWidth="1"/>
    <col min="5785" max="5785" width="8" style="1" bestFit="1" customWidth="1"/>
    <col min="5786" max="5786" width="7.42578125" style="1" customWidth="1"/>
    <col min="5787" max="5787" width="9" style="1" bestFit="1" customWidth="1"/>
    <col min="5788" max="5804" width="9.28515625" style="1" customWidth="1"/>
    <col min="5805" max="5810" width="11.140625" style="1" customWidth="1"/>
    <col min="5811" max="5811" width="38.140625" style="1" customWidth="1"/>
    <col min="5812" max="5816" width="7.42578125" style="1" customWidth="1"/>
    <col min="5817" max="5823" width="8.85546875" style="1" customWidth="1"/>
    <col min="5824" max="5824" width="7.42578125" style="1" customWidth="1"/>
    <col min="5825" max="5829" width="8.28515625" style="1" bestFit="1" customWidth="1"/>
    <col min="5830" max="5830" width="8.7109375" style="1" customWidth="1"/>
    <col min="5831" max="5836" width="8.5703125" style="1" customWidth="1"/>
    <col min="5837" max="5839" width="9" style="1" customWidth="1"/>
    <col min="5840" max="5840" width="7.140625" style="1" bestFit="1" customWidth="1"/>
    <col min="5841" max="5843" width="11.42578125" style="1" customWidth="1"/>
    <col min="5844" max="5844" width="10" style="1" customWidth="1"/>
    <col min="5845" max="5845" width="37.28515625" style="1" customWidth="1"/>
    <col min="5846" max="5846" width="8.7109375" style="1" customWidth="1"/>
    <col min="5847" max="5850" width="12.5703125" style="1" customWidth="1"/>
    <col min="5851" max="5851" width="9.7109375" style="1" customWidth="1"/>
    <col min="5852" max="5852" width="9.28515625" style="1" customWidth="1"/>
    <col min="5853" max="5853" width="8.85546875" style="1" customWidth="1"/>
    <col min="5854" max="5854" width="8.140625" style="1" customWidth="1"/>
    <col min="5855" max="5855" width="8.42578125" style="1" customWidth="1"/>
    <col min="5856" max="5856" width="9" style="1" customWidth="1"/>
    <col min="5857" max="5857" width="8.28515625" style="1" customWidth="1"/>
    <col min="5858" max="5858" width="8.85546875" style="1" customWidth="1"/>
    <col min="5859" max="5859" width="8" style="1" customWidth="1"/>
    <col min="5860" max="5861" width="8.7109375" style="1" customWidth="1"/>
    <col min="5862" max="5862" width="8.42578125" style="1" customWidth="1"/>
    <col min="5863" max="5863" width="9.140625" style="1" customWidth="1"/>
    <col min="5864" max="5864" width="9.5703125" style="1" bestFit="1" customWidth="1"/>
    <col min="5865" max="5873" width="9.5703125" style="1" customWidth="1"/>
    <col min="5874" max="6031" width="12.5703125" style="1"/>
    <col min="6032" max="6032" width="43" style="1" customWidth="1"/>
    <col min="6033" max="6036" width="7.42578125" style="1" customWidth="1"/>
    <col min="6037" max="6037" width="7" style="1" customWidth="1"/>
    <col min="6038" max="6040" width="7.42578125" style="1" customWidth="1"/>
    <col min="6041" max="6041" width="8" style="1" bestFit="1" customWidth="1"/>
    <col min="6042" max="6042" width="7.42578125" style="1" customWidth="1"/>
    <col min="6043" max="6043" width="9" style="1" bestFit="1" customWidth="1"/>
    <col min="6044" max="6060" width="9.28515625" style="1" customWidth="1"/>
    <col min="6061" max="6066" width="11.140625" style="1" customWidth="1"/>
    <col min="6067" max="6067" width="38.140625" style="1" customWidth="1"/>
    <col min="6068" max="6072" width="7.42578125" style="1" customWidth="1"/>
    <col min="6073" max="6079" width="8.85546875" style="1" customWidth="1"/>
    <col min="6080" max="6080" width="7.42578125" style="1" customWidth="1"/>
    <col min="6081" max="6085" width="8.28515625" style="1" bestFit="1" customWidth="1"/>
    <col min="6086" max="6086" width="8.7109375" style="1" customWidth="1"/>
    <col min="6087" max="6092" width="8.5703125" style="1" customWidth="1"/>
    <col min="6093" max="6095" width="9" style="1" customWidth="1"/>
    <col min="6096" max="6096" width="7.140625" style="1" bestFit="1" customWidth="1"/>
    <col min="6097" max="6099" width="11.42578125" style="1" customWidth="1"/>
    <col min="6100" max="6100" width="10" style="1" customWidth="1"/>
    <col min="6101" max="6101" width="37.28515625" style="1" customWidth="1"/>
    <col min="6102" max="6102" width="8.7109375" style="1" customWidth="1"/>
    <col min="6103" max="6106" width="12.5703125" style="1" customWidth="1"/>
    <col min="6107" max="6107" width="9.7109375" style="1" customWidth="1"/>
    <col min="6108" max="6108" width="9.28515625" style="1" customWidth="1"/>
    <col min="6109" max="6109" width="8.85546875" style="1" customWidth="1"/>
    <col min="6110" max="6110" width="8.140625" style="1" customWidth="1"/>
    <col min="6111" max="6111" width="8.42578125" style="1" customWidth="1"/>
    <col min="6112" max="6112" width="9" style="1" customWidth="1"/>
    <col min="6113" max="6113" width="8.28515625" style="1" customWidth="1"/>
    <col min="6114" max="6114" width="8.85546875" style="1" customWidth="1"/>
    <col min="6115" max="6115" width="8" style="1" customWidth="1"/>
    <col min="6116" max="6117" width="8.7109375" style="1" customWidth="1"/>
    <col min="6118" max="6118" width="8.42578125" style="1" customWidth="1"/>
    <col min="6119" max="6119" width="9.140625" style="1" customWidth="1"/>
    <col min="6120" max="6120" width="9.5703125" style="1" bestFit="1" customWidth="1"/>
    <col min="6121" max="6129" width="9.5703125" style="1" customWidth="1"/>
    <col min="6130" max="6287" width="12.5703125" style="1"/>
    <col min="6288" max="6288" width="43" style="1" customWidth="1"/>
    <col min="6289" max="6292" width="7.42578125" style="1" customWidth="1"/>
    <col min="6293" max="6293" width="7" style="1" customWidth="1"/>
    <col min="6294" max="6296" width="7.42578125" style="1" customWidth="1"/>
    <col min="6297" max="6297" width="8" style="1" bestFit="1" customWidth="1"/>
    <col min="6298" max="6298" width="7.42578125" style="1" customWidth="1"/>
    <col min="6299" max="6299" width="9" style="1" bestFit="1" customWidth="1"/>
    <col min="6300" max="6316" width="9.28515625" style="1" customWidth="1"/>
    <col min="6317" max="6322" width="11.140625" style="1" customWidth="1"/>
    <col min="6323" max="6323" width="38.140625" style="1" customWidth="1"/>
    <col min="6324" max="6328" width="7.42578125" style="1" customWidth="1"/>
    <col min="6329" max="6335" width="8.85546875" style="1" customWidth="1"/>
    <col min="6336" max="6336" width="7.42578125" style="1" customWidth="1"/>
    <col min="6337" max="6341" width="8.28515625" style="1" bestFit="1" customWidth="1"/>
    <col min="6342" max="6342" width="8.7109375" style="1" customWidth="1"/>
    <col min="6343" max="6348" width="8.5703125" style="1" customWidth="1"/>
    <col min="6349" max="6351" width="9" style="1" customWidth="1"/>
    <col min="6352" max="6352" width="7.140625" style="1" bestFit="1" customWidth="1"/>
    <col min="6353" max="6355" width="11.42578125" style="1" customWidth="1"/>
    <col min="6356" max="6356" width="10" style="1" customWidth="1"/>
    <col min="6357" max="6357" width="37.28515625" style="1" customWidth="1"/>
    <col min="6358" max="6358" width="8.7109375" style="1" customWidth="1"/>
    <col min="6359" max="6362" width="12.5703125" style="1" customWidth="1"/>
    <col min="6363" max="6363" width="9.7109375" style="1" customWidth="1"/>
    <col min="6364" max="6364" width="9.28515625" style="1" customWidth="1"/>
    <col min="6365" max="6365" width="8.85546875" style="1" customWidth="1"/>
    <col min="6366" max="6366" width="8.140625" style="1" customWidth="1"/>
    <col min="6367" max="6367" width="8.42578125" style="1" customWidth="1"/>
    <col min="6368" max="6368" width="9" style="1" customWidth="1"/>
    <col min="6369" max="6369" width="8.28515625" style="1" customWidth="1"/>
    <col min="6370" max="6370" width="8.85546875" style="1" customWidth="1"/>
    <col min="6371" max="6371" width="8" style="1" customWidth="1"/>
    <col min="6372" max="6373" width="8.7109375" style="1" customWidth="1"/>
    <col min="6374" max="6374" width="8.42578125" style="1" customWidth="1"/>
    <col min="6375" max="6375" width="9.140625" style="1" customWidth="1"/>
    <col min="6376" max="6376" width="9.5703125" style="1" bestFit="1" customWidth="1"/>
    <col min="6377" max="6385" width="9.5703125" style="1" customWidth="1"/>
    <col min="6386" max="6543" width="12.5703125" style="1"/>
    <col min="6544" max="6544" width="43" style="1" customWidth="1"/>
    <col min="6545" max="6548" width="7.42578125" style="1" customWidth="1"/>
    <col min="6549" max="6549" width="7" style="1" customWidth="1"/>
    <col min="6550" max="6552" width="7.42578125" style="1" customWidth="1"/>
    <col min="6553" max="6553" width="8" style="1" bestFit="1" customWidth="1"/>
    <col min="6554" max="6554" width="7.42578125" style="1" customWidth="1"/>
    <col min="6555" max="6555" width="9" style="1" bestFit="1" customWidth="1"/>
    <col min="6556" max="6572" width="9.28515625" style="1" customWidth="1"/>
    <col min="6573" max="6578" width="11.140625" style="1" customWidth="1"/>
    <col min="6579" max="6579" width="38.140625" style="1" customWidth="1"/>
    <col min="6580" max="6584" width="7.42578125" style="1" customWidth="1"/>
    <col min="6585" max="6591" width="8.85546875" style="1" customWidth="1"/>
    <col min="6592" max="6592" width="7.42578125" style="1" customWidth="1"/>
    <col min="6593" max="6597" width="8.28515625" style="1" bestFit="1" customWidth="1"/>
    <col min="6598" max="6598" width="8.7109375" style="1" customWidth="1"/>
    <col min="6599" max="6604" width="8.5703125" style="1" customWidth="1"/>
    <col min="6605" max="6607" width="9" style="1" customWidth="1"/>
    <col min="6608" max="6608" width="7.140625" style="1" bestFit="1" customWidth="1"/>
    <col min="6609" max="6611" width="11.42578125" style="1" customWidth="1"/>
    <col min="6612" max="6612" width="10" style="1" customWidth="1"/>
    <col min="6613" max="6613" width="37.28515625" style="1" customWidth="1"/>
    <col min="6614" max="6614" width="8.7109375" style="1" customWidth="1"/>
    <col min="6615" max="6618" width="12.5703125" style="1" customWidth="1"/>
    <col min="6619" max="6619" width="9.7109375" style="1" customWidth="1"/>
    <col min="6620" max="6620" width="9.28515625" style="1" customWidth="1"/>
    <col min="6621" max="6621" width="8.85546875" style="1" customWidth="1"/>
    <col min="6622" max="6622" width="8.140625" style="1" customWidth="1"/>
    <col min="6623" max="6623" width="8.42578125" style="1" customWidth="1"/>
    <col min="6624" max="6624" width="9" style="1" customWidth="1"/>
    <col min="6625" max="6625" width="8.28515625" style="1" customWidth="1"/>
    <col min="6626" max="6626" width="8.85546875" style="1" customWidth="1"/>
    <col min="6627" max="6627" width="8" style="1" customWidth="1"/>
    <col min="6628" max="6629" width="8.7109375" style="1" customWidth="1"/>
    <col min="6630" max="6630" width="8.42578125" style="1" customWidth="1"/>
    <col min="6631" max="6631" width="9.140625" style="1" customWidth="1"/>
    <col min="6632" max="6632" width="9.5703125" style="1" bestFit="1" customWidth="1"/>
    <col min="6633" max="6641" width="9.5703125" style="1" customWidth="1"/>
    <col min="6642" max="6799" width="12.5703125" style="1"/>
    <col min="6800" max="6800" width="43" style="1" customWidth="1"/>
    <col min="6801" max="6804" width="7.42578125" style="1" customWidth="1"/>
    <col min="6805" max="6805" width="7" style="1" customWidth="1"/>
    <col min="6806" max="6808" width="7.42578125" style="1" customWidth="1"/>
    <col min="6809" max="6809" width="8" style="1" bestFit="1" customWidth="1"/>
    <col min="6810" max="6810" width="7.42578125" style="1" customWidth="1"/>
    <col min="6811" max="6811" width="9" style="1" bestFit="1" customWidth="1"/>
    <col min="6812" max="6828" width="9.28515625" style="1" customWidth="1"/>
    <col min="6829" max="6834" width="11.140625" style="1" customWidth="1"/>
    <col min="6835" max="6835" width="38.140625" style="1" customWidth="1"/>
    <col min="6836" max="6840" width="7.42578125" style="1" customWidth="1"/>
    <col min="6841" max="6847" width="8.85546875" style="1" customWidth="1"/>
    <col min="6848" max="6848" width="7.42578125" style="1" customWidth="1"/>
    <col min="6849" max="6853" width="8.28515625" style="1" bestFit="1" customWidth="1"/>
    <col min="6854" max="6854" width="8.7109375" style="1" customWidth="1"/>
    <col min="6855" max="6860" width="8.5703125" style="1" customWidth="1"/>
    <col min="6861" max="6863" width="9" style="1" customWidth="1"/>
    <col min="6864" max="6864" width="7.140625" style="1" bestFit="1" customWidth="1"/>
    <col min="6865" max="6867" width="11.42578125" style="1" customWidth="1"/>
    <col min="6868" max="6868" width="10" style="1" customWidth="1"/>
    <col min="6869" max="6869" width="37.28515625" style="1" customWidth="1"/>
    <col min="6870" max="6870" width="8.7109375" style="1" customWidth="1"/>
    <col min="6871" max="6874" width="12.5703125" style="1" customWidth="1"/>
    <col min="6875" max="6875" width="9.7109375" style="1" customWidth="1"/>
    <col min="6876" max="6876" width="9.28515625" style="1" customWidth="1"/>
    <col min="6877" max="6877" width="8.85546875" style="1" customWidth="1"/>
    <col min="6878" max="6878" width="8.140625" style="1" customWidth="1"/>
    <col min="6879" max="6879" width="8.42578125" style="1" customWidth="1"/>
    <col min="6880" max="6880" width="9" style="1" customWidth="1"/>
    <col min="6881" max="6881" width="8.28515625" style="1" customWidth="1"/>
    <col min="6882" max="6882" width="8.85546875" style="1" customWidth="1"/>
    <col min="6883" max="6883" width="8" style="1" customWidth="1"/>
    <col min="6884" max="6885" width="8.7109375" style="1" customWidth="1"/>
    <col min="6886" max="6886" width="8.42578125" style="1" customWidth="1"/>
    <col min="6887" max="6887" width="9.140625" style="1" customWidth="1"/>
    <col min="6888" max="6888" width="9.5703125" style="1" bestFit="1" customWidth="1"/>
    <col min="6889" max="6897" width="9.5703125" style="1" customWidth="1"/>
    <col min="6898" max="7055" width="12.5703125" style="1"/>
    <col min="7056" max="7056" width="43" style="1" customWidth="1"/>
    <col min="7057" max="7060" width="7.42578125" style="1" customWidth="1"/>
    <col min="7061" max="7061" width="7" style="1" customWidth="1"/>
    <col min="7062" max="7064" width="7.42578125" style="1" customWidth="1"/>
    <col min="7065" max="7065" width="8" style="1" bestFit="1" customWidth="1"/>
    <col min="7066" max="7066" width="7.42578125" style="1" customWidth="1"/>
    <col min="7067" max="7067" width="9" style="1" bestFit="1" customWidth="1"/>
    <col min="7068" max="7084" width="9.28515625" style="1" customWidth="1"/>
    <col min="7085" max="7090" width="11.140625" style="1" customWidth="1"/>
    <col min="7091" max="7091" width="38.140625" style="1" customWidth="1"/>
    <col min="7092" max="7096" width="7.42578125" style="1" customWidth="1"/>
    <col min="7097" max="7103" width="8.85546875" style="1" customWidth="1"/>
    <col min="7104" max="7104" width="7.42578125" style="1" customWidth="1"/>
    <col min="7105" max="7109" width="8.28515625" style="1" bestFit="1" customWidth="1"/>
    <col min="7110" max="7110" width="8.7109375" style="1" customWidth="1"/>
    <col min="7111" max="7116" width="8.5703125" style="1" customWidth="1"/>
    <col min="7117" max="7119" width="9" style="1" customWidth="1"/>
    <col min="7120" max="7120" width="7.140625" style="1" bestFit="1" customWidth="1"/>
    <col min="7121" max="7123" width="11.42578125" style="1" customWidth="1"/>
    <col min="7124" max="7124" width="10" style="1" customWidth="1"/>
    <col min="7125" max="7125" width="37.28515625" style="1" customWidth="1"/>
    <col min="7126" max="7126" width="8.7109375" style="1" customWidth="1"/>
    <col min="7127" max="7130" width="12.5703125" style="1" customWidth="1"/>
    <col min="7131" max="7131" width="9.7109375" style="1" customWidth="1"/>
    <col min="7132" max="7132" width="9.28515625" style="1" customWidth="1"/>
    <col min="7133" max="7133" width="8.85546875" style="1" customWidth="1"/>
    <col min="7134" max="7134" width="8.140625" style="1" customWidth="1"/>
    <col min="7135" max="7135" width="8.42578125" style="1" customWidth="1"/>
    <col min="7136" max="7136" width="9" style="1" customWidth="1"/>
    <col min="7137" max="7137" width="8.28515625" style="1" customWidth="1"/>
    <col min="7138" max="7138" width="8.85546875" style="1" customWidth="1"/>
    <col min="7139" max="7139" width="8" style="1" customWidth="1"/>
    <col min="7140" max="7141" width="8.7109375" style="1" customWidth="1"/>
    <col min="7142" max="7142" width="8.42578125" style="1" customWidth="1"/>
    <col min="7143" max="7143" width="9.140625" style="1" customWidth="1"/>
    <col min="7144" max="7144" width="9.5703125" style="1" bestFit="1" customWidth="1"/>
    <col min="7145" max="7153" width="9.5703125" style="1" customWidth="1"/>
    <col min="7154" max="7311" width="12.5703125" style="1"/>
    <col min="7312" max="7312" width="43" style="1" customWidth="1"/>
    <col min="7313" max="7316" width="7.42578125" style="1" customWidth="1"/>
    <col min="7317" max="7317" width="7" style="1" customWidth="1"/>
    <col min="7318" max="7320" width="7.42578125" style="1" customWidth="1"/>
    <col min="7321" max="7321" width="8" style="1" bestFit="1" customWidth="1"/>
    <col min="7322" max="7322" width="7.42578125" style="1" customWidth="1"/>
    <col min="7323" max="7323" width="9" style="1" bestFit="1" customWidth="1"/>
    <col min="7324" max="7340" width="9.28515625" style="1" customWidth="1"/>
    <col min="7341" max="7346" width="11.140625" style="1" customWidth="1"/>
    <col min="7347" max="7347" width="38.140625" style="1" customWidth="1"/>
    <col min="7348" max="7352" width="7.42578125" style="1" customWidth="1"/>
    <col min="7353" max="7359" width="8.85546875" style="1" customWidth="1"/>
    <col min="7360" max="7360" width="7.42578125" style="1" customWidth="1"/>
    <col min="7361" max="7365" width="8.28515625" style="1" bestFit="1" customWidth="1"/>
    <col min="7366" max="7366" width="8.7109375" style="1" customWidth="1"/>
    <col min="7367" max="7372" width="8.5703125" style="1" customWidth="1"/>
    <col min="7373" max="7375" width="9" style="1" customWidth="1"/>
    <col min="7376" max="7376" width="7.140625" style="1" bestFit="1" customWidth="1"/>
    <col min="7377" max="7379" width="11.42578125" style="1" customWidth="1"/>
    <col min="7380" max="7380" width="10" style="1" customWidth="1"/>
    <col min="7381" max="7381" width="37.28515625" style="1" customWidth="1"/>
    <col min="7382" max="7382" width="8.7109375" style="1" customWidth="1"/>
    <col min="7383" max="7386" width="12.5703125" style="1" customWidth="1"/>
    <col min="7387" max="7387" width="9.7109375" style="1" customWidth="1"/>
    <col min="7388" max="7388" width="9.28515625" style="1" customWidth="1"/>
    <col min="7389" max="7389" width="8.85546875" style="1" customWidth="1"/>
    <col min="7390" max="7390" width="8.140625" style="1" customWidth="1"/>
    <col min="7391" max="7391" width="8.42578125" style="1" customWidth="1"/>
    <col min="7392" max="7392" width="9" style="1" customWidth="1"/>
    <col min="7393" max="7393" width="8.28515625" style="1" customWidth="1"/>
    <col min="7394" max="7394" width="8.85546875" style="1" customWidth="1"/>
    <col min="7395" max="7395" width="8" style="1" customWidth="1"/>
    <col min="7396" max="7397" width="8.7109375" style="1" customWidth="1"/>
    <col min="7398" max="7398" width="8.42578125" style="1" customWidth="1"/>
    <col min="7399" max="7399" width="9.140625" style="1" customWidth="1"/>
    <col min="7400" max="7400" width="9.5703125" style="1" bestFit="1" customWidth="1"/>
    <col min="7401" max="7409" width="9.5703125" style="1" customWidth="1"/>
    <col min="7410" max="7567" width="12.5703125" style="1"/>
    <col min="7568" max="7568" width="43" style="1" customWidth="1"/>
    <col min="7569" max="7572" width="7.42578125" style="1" customWidth="1"/>
    <col min="7573" max="7573" width="7" style="1" customWidth="1"/>
    <col min="7574" max="7576" width="7.42578125" style="1" customWidth="1"/>
    <col min="7577" max="7577" width="8" style="1" bestFit="1" customWidth="1"/>
    <col min="7578" max="7578" width="7.42578125" style="1" customWidth="1"/>
    <col min="7579" max="7579" width="9" style="1" bestFit="1" customWidth="1"/>
    <col min="7580" max="7596" width="9.28515625" style="1" customWidth="1"/>
    <col min="7597" max="7602" width="11.140625" style="1" customWidth="1"/>
    <col min="7603" max="7603" width="38.140625" style="1" customWidth="1"/>
    <col min="7604" max="7608" width="7.42578125" style="1" customWidth="1"/>
    <col min="7609" max="7615" width="8.85546875" style="1" customWidth="1"/>
    <col min="7616" max="7616" width="7.42578125" style="1" customWidth="1"/>
    <col min="7617" max="7621" width="8.28515625" style="1" bestFit="1" customWidth="1"/>
    <col min="7622" max="7622" width="8.7109375" style="1" customWidth="1"/>
    <col min="7623" max="7628" width="8.5703125" style="1" customWidth="1"/>
    <col min="7629" max="7631" width="9" style="1" customWidth="1"/>
    <col min="7632" max="7632" width="7.140625" style="1" bestFit="1" customWidth="1"/>
    <col min="7633" max="7635" width="11.42578125" style="1" customWidth="1"/>
    <col min="7636" max="7636" width="10" style="1" customWidth="1"/>
    <col min="7637" max="7637" width="37.28515625" style="1" customWidth="1"/>
    <col min="7638" max="7638" width="8.7109375" style="1" customWidth="1"/>
    <col min="7639" max="7642" width="12.5703125" style="1" customWidth="1"/>
    <col min="7643" max="7643" width="9.7109375" style="1" customWidth="1"/>
    <col min="7644" max="7644" width="9.28515625" style="1" customWidth="1"/>
    <col min="7645" max="7645" width="8.85546875" style="1" customWidth="1"/>
    <col min="7646" max="7646" width="8.140625" style="1" customWidth="1"/>
    <col min="7647" max="7647" width="8.42578125" style="1" customWidth="1"/>
    <col min="7648" max="7648" width="9" style="1" customWidth="1"/>
    <col min="7649" max="7649" width="8.28515625" style="1" customWidth="1"/>
    <col min="7650" max="7650" width="8.85546875" style="1" customWidth="1"/>
    <col min="7651" max="7651" width="8" style="1" customWidth="1"/>
    <col min="7652" max="7653" width="8.7109375" style="1" customWidth="1"/>
    <col min="7654" max="7654" width="8.42578125" style="1" customWidth="1"/>
    <col min="7655" max="7655" width="9.140625" style="1" customWidth="1"/>
    <col min="7656" max="7656" width="9.5703125" style="1" bestFit="1" customWidth="1"/>
    <col min="7657" max="7665" width="9.5703125" style="1" customWidth="1"/>
    <col min="7666" max="7823" width="12.5703125" style="1"/>
    <col min="7824" max="7824" width="43" style="1" customWidth="1"/>
    <col min="7825" max="7828" width="7.42578125" style="1" customWidth="1"/>
    <col min="7829" max="7829" width="7" style="1" customWidth="1"/>
    <col min="7830" max="7832" width="7.42578125" style="1" customWidth="1"/>
    <col min="7833" max="7833" width="8" style="1" bestFit="1" customWidth="1"/>
    <col min="7834" max="7834" width="7.42578125" style="1" customWidth="1"/>
    <col min="7835" max="7835" width="9" style="1" bestFit="1" customWidth="1"/>
    <col min="7836" max="7852" width="9.28515625" style="1" customWidth="1"/>
    <col min="7853" max="7858" width="11.140625" style="1" customWidth="1"/>
    <col min="7859" max="7859" width="38.140625" style="1" customWidth="1"/>
    <col min="7860" max="7864" width="7.42578125" style="1" customWidth="1"/>
    <col min="7865" max="7871" width="8.85546875" style="1" customWidth="1"/>
    <col min="7872" max="7872" width="7.42578125" style="1" customWidth="1"/>
    <col min="7873" max="7877" width="8.28515625" style="1" bestFit="1" customWidth="1"/>
    <col min="7878" max="7878" width="8.7109375" style="1" customWidth="1"/>
    <col min="7879" max="7884" width="8.5703125" style="1" customWidth="1"/>
    <col min="7885" max="7887" width="9" style="1" customWidth="1"/>
    <col min="7888" max="7888" width="7.140625" style="1" bestFit="1" customWidth="1"/>
    <col min="7889" max="7891" width="11.42578125" style="1" customWidth="1"/>
    <col min="7892" max="7892" width="10" style="1" customWidth="1"/>
    <col min="7893" max="7893" width="37.28515625" style="1" customWidth="1"/>
    <col min="7894" max="7894" width="8.7109375" style="1" customWidth="1"/>
    <col min="7895" max="7898" width="12.5703125" style="1" customWidth="1"/>
    <col min="7899" max="7899" width="9.7109375" style="1" customWidth="1"/>
    <col min="7900" max="7900" width="9.28515625" style="1" customWidth="1"/>
    <col min="7901" max="7901" width="8.85546875" style="1" customWidth="1"/>
    <col min="7902" max="7902" width="8.140625" style="1" customWidth="1"/>
    <col min="7903" max="7903" width="8.42578125" style="1" customWidth="1"/>
    <col min="7904" max="7904" width="9" style="1" customWidth="1"/>
    <col min="7905" max="7905" width="8.28515625" style="1" customWidth="1"/>
    <col min="7906" max="7906" width="8.85546875" style="1" customWidth="1"/>
    <col min="7907" max="7907" width="8" style="1" customWidth="1"/>
    <col min="7908" max="7909" width="8.7109375" style="1" customWidth="1"/>
    <col min="7910" max="7910" width="8.42578125" style="1" customWidth="1"/>
    <col min="7911" max="7911" width="9.140625" style="1" customWidth="1"/>
    <col min="7912" max="7912" width="9.5703125" style="1" bestFit="1" customWidth="1"/>
    <col min="7913" max="7921" width="9.5703125" style="1" customWidth="1"/>
    <col min="7922" max="8079" width="12.5703125" style="1"/>
    <col min="8080" max="8080" width="43" style="1" customWidth="1"/>
    <col min="8081" max="8084" width="7.42578125" style="1" customWidth="1"/>
    <col min="8085" max="8085" width="7" style="1" customWidth="1"/>
    <col min="8086" max="8088" width="7.42578125" style="1" customWidth="1"/>
    <col min="8089" max="8089" width="8" style="1" bestFit="1" customWidth="1"/>
    <col min="8090" max="8090" width="7.42578125" style="1" customWidth="1"/>
    <col min="8091" max="8091" width="9" style="1" bestFit="1" customWidth="1"/>
    <col min="8092" max="8108" width="9.28515625" style="1" customWidth="1"/>
    <col min="8109" max="8114" width="11.140625" style="1" customWidth="1"/>
    <col min="8115" max="8115" width="38.140625" style="1" customWidth="1"/>
    <col min="8116" max="8120" width="7.42578125" style="1" customWidth="1"/>
    <col min="8121" max="8127" width="8.85546875" style="1" customWidth="1"/>
    <col min="8128" max="8128" width="7.42578125" style="1" customWidth="1"/>
    <col min="8129" max="8133" width="8.28515625" style="1" bestFit="1" customWidth="1"/>
    <col min="8134" max="8134" width="8.7109375" style="1" customWidth="1"/>
    <col min="8135" max="8140" width="8.5703125" style="1" customWidth="1"/>
    <col min="8141" max="8143" width="9" style="1" customWidth="1"/>
    <col min="8144" max="8144" width="7.140625" style="1" bestFit="1" customWidth="1"/>
    <col min="8145" max="8147" width="11.42578125" style="1" customWidth="1"/>
    <col min="8148" max="8148" width="10" style="1" customWidth="1"/>
    <col min="8149" max="8149" width="37.28515625" style="1" customWidth="1"/>
    <col min="8150" max="8150" width="8.7109375" style="1" customWidth="1"/>
    <col min="8151" max="8154" width="12.5703125" style="1" customWidth="1"/>
    <col min="8155" max="8155" width="9.7109375" style="1" customWidth="1"/>
    <col min="8156" max="8156" width="9.28515625" style="1" customWidth="1"/>
    <col min="8157" max="8157" width="8.85546875" style="1" customWidth="1"/>
    <col min="8158" max="8158" width="8.140625" style="1" customWidth="1"/>
    <col min="8159" max="8159" width="8.42578125" style="1" customWidth="1"/>
    <col min="8160" max="8160" width="9" style="1" customWidth="1"/>
    <col min="8161" max="8161" width="8.28515625" style="1" customWidth="1"/>
    <col min="8162" max="8162" width="8.85546875" style="1" customWidth="1"/>
    <col min="8163" max="8163" width="8" style="1" customWidth="1"/>
    <col min="8164" max="8165" width="8.7109375" style="1" customWidth="1"/>
    <col min="8166" max="8166" width="8.42578125" style="1" customWidth="1"/>
    <col min="8167" max="8167" width="9.140625" style="1" customWidth="1"/>
    <col min="8168" max="8168" width="9.5703125" style="1" bestFit="1" customWidth="1"/>
    <col min="8169" max="8177" width="9.5703125" style="1" customWidth="1"/>
    <col min="8178" max="8335" width="12.5703125" style="1"/>
    <col min="8336" max="8336" width="43" style="1" customWidth="1"/>
    <col min="8337" max="8340" width="7.42578125" style="1" customWidth="1"/>
    <col min="8341" max="8341" width="7" style="1" customWidth="1"/>
    <col min="8342" max="8344" width="7.42578125" style="1" customWidth="1"/>
    <col min="8345" max="8345" width="8" style="1" bestFit="1" customWidth="1"/>
    <col min="8346" max="8346" width="7.42578125" style="1" customWidth="1"/>
    <col min="8347" max="8347" width="9" style="1" bestFit="1" customWidth="1"/>
    <col min="8348" max="8364" width="9.28515625" style="1" customWidth="1"/>
    <col min="8365" max="8370" width="11.140625" style="1" customWidth="1"/>
    <col min="8371" max="8371" width="38.140625" style="1" customWidth="1"/>
    <col min="8372" max="8376" width="7.42578125" style="1" customWidth="1"/>
    <col min="8377" max="8383" width="8.85546875" style="1" customWidth="1"/>
    <col min="8384" max="8384" width="7.42578125" style="1" customWidth="1"/>
    <col min="8385" max="8389" width="8.28515625" style="1" bestFit="1" customWidth="1"/>
    <col min="8390" max="8390" width="8.7109375" style="1" customWidth="1"/>
    <col min="8391" max="8396" width="8.5703125" style="1" customWidth="1"/>
    <col min="8397" max="8399" width="9" style="1" customWidth="1"/>
    <col min="8400" max="8400" width="7.140625" style="1" bestFit="1" customWidth="1"/>
    <col min="8401" max="8403" width="11.42578125" style="1" customWidth="1"/>
    <col min="8404" max="8404" width="10" style="1" customWidth="1"/>
    <col min="8405" max="8405" width="37.28515625" style="1" customWidth="1"/>
    <col min="8406" max="8406" width="8.7109375" style="1" customWidth="1"/>
    <col min="8407" max="8410" width="12.5703125" style="1" customWidth="1"/>
    <col min="8411" max="8411" width="9.7109375" style="1" customWidth="1"/>
    <col min="8412" max="8412" width="9.28515625" style="1" customWidth="1"/>
    <col min="8413" max="8413" width="8.85546875" style="1" customWidth="1"/>
    <col min="8414" max="8414" width="8.140625" style="1" customWidth="1"/>
    <col min="8415" max="8415" width="8.42578125" style="1" customWidth="1"/>
    <col min="8416" max="8416" width="9" style="1" customWidth="1"/>
    <col min="8417" max="8417" width="8.28515625" style="1" customWidth="1"/>
    <col min="8418" max="8418" width="8.85546875" style="1" customWidth="1"/>
    <col min="8419" max="8419" width="8" style="1" customWidth="1"/>
    <col min="8420" max="8421" width="8.7109375" style="1" customWidth="1"/>
    <col min="8422" max="8422" width="8.42578125" style="1" customWidth="1"/>
    <col min="8423" max="8423" width="9.140625" style="1" customWidth="1"/>
    <col min="8424" max="8424" width="9.5703125" style="1" bestFit="1" customWidth="1"/>
    <col min="8425" max="8433" width="9.5703125" style="1" customWidth="1"/>
    <col min="8434" max="8591" width="12.5703125" style="1"/>
    <col min="8592" max="8592" width="43" style="1" customWidth="1"/>
    <col min="8593" max="8596" width="7.42578125" style="1" customWidth="1"/>
    <col min="8597" max="8597" width="7" style="1" customWidth="1"/>
    <col min="8598" max="8600" width="7.42578125" style="1" customWidth="1"/>
    <col min="8601" max="8601" width="8" style="1" bestFit="1" customWidth="1"/>
    <col min="8602" max="8602" width="7.42578125" style="1" customWidth="1"/>
    <col min="8603" max="8603" width="9" style="1" bestFit="1" customWidth="1"/>
    <col min="8604" max="8620" width="9.28515625" style="1" customWidth="1"/>
    <col min="8621" max="8626" width="11.140625" style="1" customWidth="1"/>
    <col min="8627" max="8627" width="38.140625" style="1" customWidth="1"/>
    <col min="8628" max="8632" width="7.42578125" style="1" customWidth="1"/>
    <col min="8633" max="8639" width="8.85546875" style="1" customWidth="1"/>
    <col min="8640" max="8640" width="7.42578125" style="1" customWidth="1"/>
    <col min="8641" max="8645" width="8.28515625" style="1" bestFit="1" customWidth="1"/>
    <col min="8646" max="8646" width="8.7109375" style="1" customWidth="1"/>
    <col min="8647" max="8652" width="8.5703125" style="1" customWidth="1"/>
    <col min="8653" max="8655" width="9" style="1" customWidth="1"/>
    <col min="8656" max="8656" width="7.140625" style="1" bestFit="1" customWidth="1"/>
    <col min="8657" max="8659" width="11.42578125" style="1" customWidth="1"/>
    <col min="8660" max="8660" width="10" style="1" customWidth="1"/>
    <col min="8661" max="8661" width="37.28515625" style="1" customWidth="1"/>
    <col min="8662" max="8662" width="8.7109375" style="1" customWidth="1"/>
    <col min="8663" max="8666" width="12.5703125" style="1" customWidth="1"/>
    <col min="8667" max="8667" width="9.7109375" style="1" customWidth="1"/>
    <col min="8668" max="8668" width="9.28515625" style="1" customWidth="1"/>
    <col min="8669" max="8669" width="8.85546875" style="1" customWidth="1"/>
    <col min="8670" max="8670" width="8.140625" style="1" customWidth="1"/>
    <col min="8671" max="8671" width="8.42578125" style="1" customWidth="1"/>
    <col min="8672" max="8672" width="9" style="1" customWidth="1"/>
    <col min="8673" max="8673" width="8.28515625" style="1" customWidth="1"/>
    <col min="8674" max="8674" width="8.85546875" style="1" customWidth="1"/>
    <col min="8675" max="8675" width="8" style="1" customWidth="1"/>
    <col min="8676" max="8677" width="8.7109375" style="1" customWidth="1"/>
    <col min="8678" max="8678" width="8.42578125" style="1" customWidth="1"/>
    <col min="8679" max="8679" width="9.140625" style="1" customWidth="1"/>
    <col min="8680" max="8680" width="9.5703125" style="1" bestFit="1" customWidth="1"/>
    <col min="8681" max="8689" width="9.5703125" style="1" customWidth="1"/>
    <col min="8690" max="8847" width="12.5703125" style="1"/>
    <col min="8848" max="8848" width="43" style="1" customWidth="1"/>
    <col min="8849" max="8852" width="7.42578125" style="1" customWidth="1"/>
    <col min="8853" max="8853" width="7" style="1" customWidth="1"/>
    <col min="8854" max="8856" width="7.42578125" style="1" customWidth="1"/>
    <col min="8857" max="8857" width="8" style="1" bestFit="1" customWidth="1"/>
    <col min="8858" max="8858" width="7.42578125" style="1" customWidth="1"/>
    <col min="8859" max="8859" width="9" style="1" bestFit="1" customWidth="1"/>
    <col min="8860" max="8876" width="9.28515625" style="1" customWidth="1"/>
    <col min="8877" max="8882" width="11.140625" style="1" customWidth="1"/>
    <col min="8883" max="8883" width="38.140625" style="1" customWidth="1"/>
    <col min="8884" max="8888" width="7.42578125" style="1" customWidth="1"/>
    <col min="8889" max="8895" width="8.85546875" style="1" customWidth="1"/>
    <col min="8896" max="8896" width="7.42578125" style="1" customWidth="1"/>
    <col min="8897" max="8901" width="8.28515625" style="1" bestFit="1" customWidth="1"/>
    <col min="8902" max="8902" width="8.7109375" style="1" customWidth="1"/>
    <col min="8903" max="8908" width="8.5703125" style="1" customWidth="1"/>
    <col min="8909" max="8911" width="9" style="1" customWidth="1"/>
    <col min="8912" max="8912" width="7.140625" style="1" bestFit="1" customWidth="1"/>
    <col min="8913" max="8915" width="11.42578125" style="1" customWidth="1"/>
    <col min="8916" max="8916" width="10" style="1" customWidth="1"/>
    <col min="8917" max="8917" width="37.28515625" style="1" customWidth="1"/>
    <col min="8918" max="8918" width="8.7109375" style="1" customWidth="1"/>
    <col min="8919" max="8922" width="12.5703125" style="1" customWidth="1"/>
    <col min="8923" max="8923" width="9.7109375" style="1" customWidth="1"/>
    <col min="8924" max="8924" width="9.28515625" style="1" customWidth="1"/>
    <col min="8925" max="8925" width="8.85546875" style="1" customWidth="1"/>
    <col min="8926" max="8926" width="8.140625" style="1" customWidth="1"/>
    <col min="8927" max="8927" width="8.42578125" style="1" customWidth="1"/>
    <col min="8928" max="8928" width="9" style="1" customWidth="1"/>
    <col min="8929" max="8929" width="8.28515625" style="1" customWidth="1"/>
    <col min="8930" max="8930" width="8.85546875" style="1" customWidth="1"/>
    <col min="8931" max="8931" width="8" style="1" customWidth="1"/>
    <col min="8932" max="8933" width="8.7109375" style="1" customWidth="1"/>
    <col min="8934" max="8934" width="8.42578125" style="1" customWidth="1"/>
    <col min="8935" max="8935" width="9.140625" style="1" customWidth="1"/>
    <col min="8936" max="8936" width="9.5703125" style="1" bestFit="1" customWidth="1"/>
    <col min="8937" max="8945" width="9.5703125" style="1" customWidth="1"/>
    <col min="8946" max="9103" width="12.5703125" style="1"/>
    <col min="9104" max="9104" width="43" style="1" customWidth="1"/>
    <col min="9105" max="9108" width="7.42578125" style="1" customWidth="1"/>
    <col min="9109" max="9109" width="7" style="1" customWidth="1"/>
    <col min="9110" max="9112" width="7.42578125" style="1" customWidth="1"/>
    <col min="9113" max="9113" width="8" style="1" bestFit="1" customWidth="1"/>
    <col min="9114" max="9114" width="7.42578125" style="1" customWidth="1"/>
    <col min="9115" max="9115" width="9" style="1" bestFit="1" customWidth="1"/>
    <col min="9116" max="9132" width="9.28515625" style="1" customWidth="1"/>
    <col min="9133" max="9138" width="11.140625" style="1" customWidth="1"/>
    <col min="9139" max="9139" width="38.140625" style="1" customWidth="1"/>
    <col min="9140" max="9144" width="7.42578125" style="1" customWidth="1"/>
    <col min="9145" max="9151" width="8.85546875" style="1" customWidth="1"/>
    <col min="9152" max="9152" width="7.42578125" style="1" customWidth="1"/>
    <col min="9153" max="9157" width="8.28515625" style="1" bestFit="1" customWidth="1"/>
    <col min="9158" max="9158" width="8.7109375" style="1" customWidth="1"/>
    <col min="9159" max="9164" width="8.5703125" style="1" customWidth="1"/>
    <col min="9165" max="9167" width="9" style="1" customWidth="1"/>
    <col min="9168" max="9168" width="7.140625" style="1" bestFit="1" customWidth="1"/>
    <col min="9169" max="9171" width="11.42578125" style="1" customWidth="1"/>
    <col min="9172" max="9172" width="10" style="1" customWidth="1"/>
    <col min="9173" max="9173" width="37.28515625" style="1" customWidth="1"/>
    <col min="9174" max="9174" width="8.7109375" style="1" customWidth="1"/>
    <col min="9175" max="9178" width="12.5703125" style="1" customWidth="1"/>
    <col min="9179" max="9179" width="9.7109375" style="1" customWidth="1"/>
    <col min="9180" max="9180" width="9.28515625" style="1" customWidth="1"/>
    <col min="9181" max="9181" width="8.85546875" style="1" customWidth="1"/>
    <col min="9182" max="9182" width="8.140625" style="1" customWidth="1"/>
    <col min="9183" max="9183" width="8.42578125" style="1" customWidth="1"/>
    <col min="9184" max="9184" width="9" style="1" customWidth="1"/>
    <col min="9185" max="9185" width="8.28515625" style="1" customWidth="1"/>
    <col min="9186" max="9186" width="8.85546875" style="1" customWidth="1"/>
    <col min="9187" max="9187" width="8" style="1" customWidth="1"/>
    <col min="9188" max="9189" width="8.7109375" style="1" customWidth="1"/>
    <col min="9190" max="9190" width="8.42578125" style="1" customWidth="1"/>
    <col min="9191" max="9191" width="9.140625" style="1" customWidth="1"/>
    <col min="9192" max="9192" width="9.5703125" style="1" bestFit="1" customWidth="1"/>
    <col min="9193" max="9201" width="9.5703125" style="1" customWidth="1"/>
    <col min="9202" max="9359" width="12.5703125" style="1"/>
    <col min="9360" max="9360" width="43" style="1" customWidth="1"/>
    <col min="9361" max="9364" width="7.42578125" style="1" customWidth="1"/>
    <col min="9365" max="9365" width="7" style="1" customWidth="1"/>
    <col min="9366" max="9368" width="7.42578125" style="1" customWidth="1"/>
    <col min="9369" max="9369" width="8" style="1" bestFit="1" customWidth="1"/>
    <col min="9370" max="9370" width="7.42578125" style="1" customWidth="1"/>
    <col min="9371" max="9371" width="9" style="1" bestFit="1" customWidth="1"/>
    <col min="9372" max="9388" width="9.28515625" style="1" customWidth="1"/>
    <col min="9389" max="9394" width="11.140625" style="1" customWidth="1"/>
    <col min="9395" max="9395" width="38.140625" style="1" customWidth="1"/>
    <col min="9396" max="9400" width="7.42578125" style="1" customWidth="1"/>
    <col min="9401" max="9407" width="8.85546875" style="1" customWidth="1"/>
    <col min="9408" max="9408" width="7.42578125" style="1" customWidth="1"/>
    <col min="9409" max="9413" width="8.28515625" style="1" bestFit="1" customWidth="1"/>
    <col min="9414" max="9414" width="8.7109375" style="1" customWidth="1"/>
    <col min="9415" max="9420" width="8.5703125" style="1" customWidth="1"/>
    <col min="9421" max="9423" width="9" style="1" customWidth="1"/>
    <col min="9424" max="9424" width="7.140625" style="1" bestFit="1" customWidth="1"/>
    <col min="9425" max="9427" width="11.42578125" style="1" customWidth="1"/>
    <col min="9428" max="9428" width="10" style="1" customWidth="1"/>
    <col min="9429" max="9429" width="37.28515625" style="1" customWidth="1"/>
    <col min="9430" max="9430" width="8.7109375" style="1" customWidth="1"/>
    <col min="9431" max="9434" width="12.5703125" style="1" customWidth="1"/>
    <col min="9435" max="9435" width="9.7109375" style="1" customWidth="1"/>
    <col min="9436" max="9436" width="9.28515625" style="1" customWidth="1"/>
    <col min="9437" max="9437" width="8.85546875" style="1" customWidth="1"/>
    <col min="9438" max="9438" width="8.140625" style="1" customWidth="1"/>
    <col min="9439" max="9439" width="8.42578125" style="1" customWidth="1"/>
    <col min="9440" max="9440" width="9" style="1" customWidth="1"/>
    <col min="9441" max="9441" width="8.28515625" style="1" customWidth="1"/>
    <col min="9442" max="9442" width="8.85546875" style="1" customWidth="1"/>
    <col min="9443" max="9443" width="8" style="1" customWidth="1"/>
    <col min="9444" max="9445" width="8.7109375" style="1" customWidth="1"/>
    <col min="9446" max="9446" width="8.42578125" style="1" customWidth="1"/>
    <col min="9447" max="9447" width="9.140625" style="1" customWidth="1"/>
    <col min="9448" max="9448" width="9.5703125" style="1" bestFit="1" customWidth="1"/>
    <col min="9449" max="9457" width="9.5703125" style="1" customWidth="1"/>
    <col min="9458" max="9615" width="12.5703125" style="1"/>
    <col min="9616" max="9616" width="43" style="1" customWidth="1"/>
    <col min="9617" max="9620" width="7.42578125" style="1" customWidth="1"/>
    <col min="9621" max="9621" width="7" style="1" customWidth="1"/>
    <col min="9622" max="9624" width="7.42578125" style="1" customWidth="1"/>
    <col min="9625" max="9625" width="8" style="1" bestFit="1" customWidth="1"/>
    <col min="9626" max="9626" width="7.42578125" style="1" customWidth="1"/>
    <col min="9627" max="9627" width="9" style="1" bestFit="1" customWidth="1"/>
    <col min="9628" max="9644" width="9.28515625" style="1" customWidth="1"/>
    <col min="9645" max="9650" width="11.140625" style="1" customWidth="1"/>
    <col min="9651" max="9651" width="38.140625" style="1" customWidth="1"/>
    <col min="9652" max="9656" width="7.42578125" style="1" customWidth="1"/>
    <col min="9657" max="9663" width="8.85546875" style="1" customWidth="1"/>
    <col min="9664" max="9664" width="7.42578125" style="1" customWidth="1"/>
    <col min="9665" max="9669" width="8.28515625" style="1" bestFit="1" customWidth="1"/>
    <col min="9670" max="9670" width="8.7109375" style="1" customWidth="1"/>
    <col min="9671" max="9676" width="8.5703125" style="1" customWidth="1"/>
    <col min="9677" max="9679" width="9" style="1" customWidth="1"/>
    <col min="9680" max="9680" width="7.140625" style="1" bestFit="1" customWidth="1"/>
    <col min="9681" max="9683" width="11.42578125" style="1" customWidth="1"/>
    <col min="9684" max="9684" width="10" style="1" customWidth="1"/>
    <col min="9685" max="9685" width="37.28515625" style="1" customWidth="1"/>
    <col min="9686" max="9686" width="8.7109375" style="1" customWidth="1"/>
    <col min="9687" max="9690" width="12.5703125" style="1" customWidth="1"/>
    <col min="9691" max="9691" width="9.7109375" style="1" customWidth="1"/>
    <col min="9692" max="9692" width="9.28515625" style="1" customWidth="1"/>
    <col min="9693" max="9693" width="8.85546875" style="1" customWidth="1"/>
    <col min="9694" max="9694" width="8.140625" style="1" customWidth="1"/>
    <col min="9695" max="9695" width="8.42578125" style="1" customWidth="1"/>
    <col min="9696" max="9696" width="9" style="1" customWidth="1"/>
    <col min="9697" max="9697" width="8.28515625" style="1" customWidth="1"/>
    <col min="9698" max="9698" width="8.85546875" style="1" customWidth="1"/>
    <col min="9699" max="9699" width="8" style="1" customWidth="1"/>
    <col min="9700" max="9701" width="8.7109375" style="1" customWidth="1"/>
    <col min="9702" max="9702" width="8.42578125" style="1" customWidth="1"/>
    <col min="9703" max="9703" width="9.140625" style="1" customWidth="1"/>
    <col min="9704" max="9704" width="9.5703125" style="1" bestFit="1" customWidth="1"/>
    <col min="9705" max="9713" width="9.5703125" style="1" customWidth="1"/>
    <col min="9714" max="9871" width="12.5703125" style="1"/>
    <col min="9872" max="9872" width="43" style="1" customWidth="1"/>
    <col min="9873" max="9876" width="7.42578125" style="1" customWidth="1"/>
    <col min="9877" max="9877" width="7" style="1" customWidth="1"/>
    <col min="9878" max="9880" width="7.42578125" style="1" customWidth="1"/>
    <col min="9881" max="9881" width="8" style="1" bestFit="1" customWidth="1"/>
    <col min="9882" max="9882" width="7.42578125" style="1" customWidth="1"/>
    <col min="9883" max="9883" width="9" style="1" bestFit="1" customWidth="1"/>
    <col min="9884" max="9900" width="9.28515625" style="1" customWidth="1"/>
    <col min="9901" max="9906" width="11.140625" style="1" customWidth="1"/>
    <col min="9907" max="9907" width="38.140625" style="1" customWidth="1"/>
    <col min="9908" max="9912" width="7.42578125" style="1" customWidth="1"/>
    <col min="9913" max="9919" width="8.85546875" style="1" customWidth="1"/>
    <col min="9920" max="9920" width="7.42578125" style="1" customWidth="1"/>
    <col min="9921" max="9925" width="8.28515625" style="1" bestFit="1" customWidth="1"/>
    <col min="9926" max="9926" width="8.7109375" style="1" customWidth="1"/>
    <col min="9927" max="9932" width="8.5703125" style="1" customWidth="1"/>
    <col min="9933" max="9935" width="9" style="1" customWidth="1"/>
    <col min="9936" max="9936" width="7.140625" style="1" bestFit="1" customWidth="1"/>
    <col min="9937" max="9939" width="11.42578125" style="1" customWidth="1"/>
    <col min="9940" max="9940" width="10" style="1" customWidth="1"/>
    <col min="9941" max="9941" width="37.28515625" style="1" customWidth="1"/>
    <col min="9942" max="9942" width="8.7109375" style="1" customWidth="1"/>
    <col min="9943" max="9946" width="12.5703125" style="1" customWidth="1"/>
    <col min="9947" max="9947" width="9.7109375" style="1" customWidth="1"/>
    <col min="9948" max="9948" width="9.28515625" style="1" customWidth="1"/>
    <col min="9949" max="9949" width="8.85546875" style="1" customWidth="1"/>
    <col min="9950" max="9950" width="8.140625" style="1" customWidth="1"/>
    <col min="9951" max="9951" width="8.42578125" style="1" customWidth="1"/>
    <col min="9952" max="9952" width="9" style="1" customWidth="1"/>
    <col min="9953" max="9953" width="8.28515625" style="1" customWidth="1"/>
    <col min="9954" max="9954" width="8.85546875" style="1" customWidth="1"/>
    <col min="9955" max="9955" width="8" style="1" customWidth="1"/>
    <col min="9956" max="9957" width="8.7109375" style="1" customWidth="1"/>
    <col min="9958" max="9958" width="8.42578125" style="1" customWidth="1"/>
    <col min="9959" max="9959" width="9.140625" style="1" customWidth="1"/>
    <col min="9960" max="9960" width="9.5703125" style="1" bestFit="1" customWidth="1"/>
    <col min="9961" max="9969" width="9.5703125" style="1" customWidth="1"/>
    <col min="9970" max="10127" width="12.5703125" style="1"/>
    <col min="10128" max="10128" width="43" style="1" customWidth="1"/>
    <col min="10129" max="10132" width="7.42578125" style="1" customWidth="1"/>
    <col min="10133" max="10133" width="7" style="1" customWidth="1"/>
    <col min="10134" max="10136" width="7.42578125" style="1" customWidth="1"/>
    <col min="10137" max="10137" width="8" style="1" bestFit="1" customWidth="1"/>
    <col min="10138" max="10138" width="7.42578125" style="1" customWidth="1"/>
    <col min="10139" max="10139" width="9" style="1" bestFit="1" customWidth="1"/>
    <col min="10140" max="10156" width="9.28515625" style="1" customWidth="1"/>
    <col min="10157" max="10162" width="11.140625" style="1" customWidth="1"/>
    <col min="10163" max="10163" width="38.140625" style="1" customWidth="1"/>
    <col min="10164" max="10168" width="7.42578125" style="1" customWidth="1"/>
    <col min="10169" max="10175" width="8.85546875" style="1" customWidth="1"/>
    <col min="10176" max="10176" width="7.42578125" style="1" customWidth="1"/>
    <col min="10177" max="10181" width="8.28515625" style="1" bestFit="1" customWidth="1"/>
    <col min="10182" max="10182" width="8.7109375" style="1" customWidth="1"/>
    <col min="10183" max="10188" width="8.5703125" style="1" customWidth="1"/>
    <col min="10189" max="10191" width="9" style="1" customWidth="1"/>
    <col min="10192" max="10192" width="7.140625" style="1" bestFit="1" customWidth="1"/>
    <col min="10193" max="10195" width="11.42578125" style="1" customWidth="1"/>
    <col min="10196" max="10196" width="10" style="1" customWidth="1"/>
    <col min="10197" max="10197" width="37.28515625" style="1" customWidth="1"/>
    <col min="10198" max="10198" width="8.7109375" style="1" customWidth="1"/>
    <col min="10199" max="10202" width="12.5703125" style="1" customWidth="1"/>
    <col min="10203" max="10203" width="9.7109375" style="1" customWidth="1"/>
    <col min="10204" max="10204" width="9.28515625" style="1" customWidth="1"/>
    <col min="10205" max="10205" width="8.85546875" style="1" customWidth="1"/>
    <col min="10206" max="10206" width="8.140625" style="1" customWidth="1"/>
    <col min="10207" max="10207" width="8.42578125" style="1" customWidth="1"/>
    <col min="10208" max="10208" width="9" style="1" customWidth="1"/>
    <col min="10209" max="10209" width="8.28515625" style="1" customWidth="1"/>
    <col min="10210" max="10210" width="8.85546875" style="1" customWidth="1"/>
    <col min="10211" max="10211" width="8" style="1" customWidth="1"/>
    <col min="10212" max="10213" width="8.7109375" style="1" customWidth="1"/>
    <col min="10214" max="10214" width="8.42578125" style="1" customWidth="1"/>
    <col min="10215" max="10215" width="9.140625" style="1" customWidth="1"/>
    <col min="10216" max="10216" width="9.5703125" style="1" bestFit="1" customWidth="1"/>
    <col min="10217" max="10225" width="9.5703125" style="1" customWidth="1"/>
    <col min="10226" max="10383" width="12.5703125" style="1"/>
    <col min="10384" max="10384" width="43" style="1" customWidth="1"/>
    <col min="10385" max="10388" width="7.42578125" style="1" customWidth="1"/>
    <col min="10389" max="10389" width="7" style="1" customWidth="1"/>
    <col min="10390" max="10392" width="7.42578125" style="1" customWidth="1"/>
    <col min="10393" max="10393" width="8" style="1" bestFit="1" customWidth="1"/>
    <col min="10394" max="10394" width="7.42578125" style="1" customWidth="1"/>
    <col min="10395" max="10395" width="9" style="1" bestFit="1" customWidth="1"/>
    <col min="10396" max="10412" width="9.28515625" style="1" customWidth="1"/>
    <col min="10413" max="10418" width="11.140625" style="1" customWidth="1"/>
    <col min="10419" max="10419" width="38.140625" style="1" customWidth="1"/>
    <col min="10420" max="10424" width="7.42578125" style="1" customWidth="1"/>
    <col min="10425" max="10431" width="8.85546875" style="1" customWidth="1"/>
    <col min="10432" max="10432" width="7.42578125" style="1" customWidth="1"/>
    <col min="10433" max="10437" width="8.28515625" style="1" bestFit="1" customWidth="1"/>
    <col min="10438" max="10438" width="8.7109375" style="1" customWidth="1"/>
    <col min="10439" max="10444" width="8.5703125" style="1" customWidth="1"/>
    <col min="10445" max="10447" width="9" style="1" customWidth="1"/>
    <col min="10448" max="10448" width="7.140625" style="1" bestFit="1" customWidth="1"/>
    <col min="10449" max="10451" width="11.42578125" style="1" customWidth="1"/>
    <col min="10452" max="10452" width="10" style="1" customWidth="1"/>
    <col min="10453" max="10453" width="37.28515625" style="1" customWidth="1"/>
    <col min="10454" max="10454" width="8.7109375" style="1" customWidth="1"/>
    <col min="10455" max="10458" width="12.5703125" style="1" customWidth="1"/>
    <col min="10459" max="10459" width="9.7109375" style="1" customWidth="1"/>
    <col min="10460" max="10460" width="9.28515625" style="1" customWidth="1"/>
    <col min="10461" max="10461" width="8.85546875" style="1" customWidth="1"/>
    <col min="10462" max="10462" width="8.140625" style="1" customWidth="1"/>
    <col min="10463" max="10463" width="8.42578125" style="1" customWidth="1"/>
    <col min="10464" max="10464" width="9" style="1" customWidth="1"/>
    <col min="10465" max="10465" width="8.28515625" style="1" customWidth="1"/>
    <col min="10466" max="10466" width="8.85546875" style="1" customWidth="1"/>
    <col min="10467" max="10467" width="8" style="1" customWidth="1"/>
    <col min="10468" max="10469" width="8.7109375" style="1" customWidth="1"/>
    <col min="10470" max="10470" width="8.42578125" style="1" customWidth="1"/>
    <col min="10471" max="10471" width="9.140625" style="1" customWidth="1"/>
    <col min="10472" max="10472" width="9.5703125" style="1" bestFit="1" customWidth="1"/>
    <col min="10473" max="10481" width="9.5703125" style="1" customWidth="1"/>
    <col min="10482" max="10639" width="12.5703125" style="1"/>
    <col min="10640" max="10640" width="43" style="1" customWidth="1"/>
    <col min="10641" max="10644" width="7.42578125" style="1" customWidth="1"/>
    <col min="10645" max="10645" width="7" style="1" customWidth="1"/>
    <col min="10646" max="10648" width="7.42578125" style="1" customWidth="1"/>
    <col min="10649" max="10649" width="8" style="1" bestFit="1" customWidth="1"/>
    <col min="10650" max="10650" width="7.42578125" style="1" customWidth="1"/>
    <col min="10651" max="10651" width="9" style="1" bestFit="1" customWidth="1"/>
    <col min="10652" max="10668" width="9.28515625" style="1" customWidth="1"/>
    <col min="10669" max="10674" width="11.140625" style="1" customWidth="1"/>
    <col min="10675" max="10675" width="38.140625" style="1" customWidth="1"/>
    <col min="10676" max="10680" width="7.42578125" style="1" customWidth="1"/>
    <col min="10681" max="10687" width="8.85546875" style="1" customWidth="1"/>
    <col min="10688" max="10688" width="7.42578125" style="1" customWidth="1"/>
    <col min="10689" max="10693" width="8.28515625" style="1" bestFit="1" customWidth="1"/>
    <col min="10694" max="10694" width="8.7109375" style="1" customWidth="1"/>
    <col min="10695" max="10700" width="8.5703125" style="1" customWidth="1"/>
    <col min="10701" max="10703" width="9" style="1" customWidth="1"/>
    <col min="10704" max="10704" width="7.140625" style="1" bestFit="1" customWidth="1"/>
    <col min="10705" max="10707" width="11.42578125" style="1" customWidth="1"/>
    <col min="10708" max="10708" width="10" style="1" customWidth="1"/>
    <col min="10709" max="10709" width="37.28515625" style="1" customWidth="1"/>
    <col min="10710" max="10710" width="8.7109375" style="1" customWidth="1"/>
    <col min="10711" max="10714" width="12.5703125" style="1" customWidth="1"/>
    <col min="10715" max="10715" width="9.7109375" style="1" customWidth="1"/>
    <col min="10716" max="10716" width="9.28515625" style="1" customWidth="1"/>
    <col min="10717" max="10717" width="8.85546875" style="1" customWidth="1"/>
    <col min="10718" max="10718" width="8.140625" style="1" customWidth="1"/>
    <col min="10719" max="10719" width="8.42578125" style="1" customWidth="1"/>
    <col min="10720" max="10720" width="9" style="1" customWidth="1"/>
    <col min="10721" max="10721" width="8.28515625" style="1" customWidth="1"/>
    <col min="10722" max="10722" width="8.85546875" style="1" customWidth="1"/>
    <col min="10723" max="10723" width="8" style="1" customWidth="1"/>
    <col min="10724" max="10725" width="8.7109375" style="1" customWidth="1"/>
    <col min="10726" max="10726" width="8.42578125" style="1" customWidth="1"/>
    <col min="10727" max="10727" width="9.140625" style="1" customWidth="1"/>
    <col min="10728" max="10728" width="9.5703125" style="1" bestFit="1" customWidth="1"/>
    <col min="10729" max="10737" width="9.5703125" style="1" customWidth="1"/>
    <col min="10738" max="10895" width="12.5703125" style="1"/>
    <col min="10896" max="10896" width="43" style="1" customWidth="1"/>
    <col min="10897" max="10900" width="7.42578125" style="1" customWidth="1"/>
    <col min="10901" max="10901" width="7" style="1" customWidth="1"/>
    <col min="10902" max="10904" width="7.42578125" style="1" customWidth="1"/>
    <col min="10905" max="10905" width="8" style="1" bestFit="1" customWidth="1"/>
    <col min="10906" max="10906" width="7.42578125" style="1" customWidth="1"/>
    <col min="10907" max="10907" width="9" style="1" bestFit="1" customWidth="1"/>
    <col min="10908" max="10924" width="9.28515625" style="1" customWidth="1"/>
    <col min="10925" max="10930" width="11.140625" style="1" customWidth="1"/>
    <col min="10931" max="10931" width="38.140625" style="1" customWidth="1"/>
    <col min="10932" max="10936" width="7.42578125" style="1" customWidth="1"/>
    <col min="10937" max="10943" width="8.85546875" style="1" customWidth="1"/>
    <col min="10944" max="10944" width="7.42578125" style="1" customWidth="1"/>
    <col min="10945" max="10949" width="8.28515625" style="1" bestFit="1" customWidth="1"/>
    <col min="10950" max="10950" width="8.7109375" style="1" customWidth="1"/>
    <col min="10951" max="10956" width="8.5703125" style="1" customWidth="1"/>
    <col min="10957" max="10959" width="9" style="1" customWidth="1"/>
    <col min="10960" max="10960" width="7.140625" style="1" bestFit="1" customWidth="1"/>
    <col min="10961" max="10963" width="11.42578125" style="1" customWidth="1"/>
    <col min="10964" max="10964" width="10" style="1" customWidth="1"/>
    <col min="10965" max="10965" width="37.28515625" style="1" customWidth="1"/>
    <col min="10966" max="10966" width="8.7109375" style="1" customWidth="1"/>
    <col min="10967" max="10970" width="12.5703125" style="1" customWidth="1"/>
    <col min="10971" max="10971" width="9.7109375" style="1" customWidth="1"/>
    <col min="10972" max="10972" width="9.28515625" style="1" customWidth="1"/>
    <col min="10973" max="10973" width="8.85546875" style="1" customWidth="1"/>
    <col min="10974" max="10974" width="8.140625" style="1" customWidth="1"/>
    <col min="10975" max="10975" width="8.42578125" style="1" customWidth="1"/>
    <col min="10976" max="10976" width="9" style="1" customWidth="1"/>
    <col min="10977" max="10977" width="8.28515625" style="1" customWidth="1"/>
    <col min="10978" max="10978" width="8.85546875" style="1" customWidth="1"/>
    <col min="10979" max="10979" width="8" style="1" customWidth="1"/>
    <col min="10980" max="10981" width="8.7109375" style="1" customWidth="1"/>
    <col min="10982" max="10982" width="8.42578125" style="1" customWidth="1"/>
    <col min="10983" max="10983" width="9.140625" style="1" customWidth="1"/>
    <col min="10984" max="10984" width="9.5703125" style="1" bestFit="1" customWidth="1"/>
    <col min="10985" max="10993" width="9.5703125" style="1" customWidth="1"/>
    <col min="10994" max="11151" width="12.5703125" style="1"/>
    <col min="11152" max="11152" width="43" style="1" customWidth="1"/>
    <col min="11153" max="11156" width="7.42578125" style="1" customWidth="1"/>
    <col min="11157" max="11157" width="7" style="1" customWidth="1"/>
    <col min="11158" max="11160" width="7.42578125" style="1" customWidth="1"/>
    <col min="11161" max="11161" width="8" style="1" bestFit="1" customWidth="1"/>
    <col min="11162" max="11162" width="7.42578125" style="1" customWidth="1"/>
    <col min="11163" max="11163" width="9" style="1" bestFit="1" customWidth="1"/>
    <col min="11164" max="11180" width="9.28515625" style="1" customWidth="1"/>
    <col min="11181" max="11186" width="11.140625" style="1" customWidth="1"/>
    <col min="11187" max="11187" width="38.140625" style="1" customWidth="1"/>
    <col min="11188" max="11192" width="7.42578125" style="1" customWidth="1"/>
    <col min="11193" max="11199" width="8.85546875" style="1" customWidth="1"/>
    <col min="11200" max="11200" width="7.42578125" style="1" customWidth="1"/>
    <col min="11201" max="11205" width="8.28515625" style="1" bestFit="1" customWidth="1"/>
    <col min="11206" max="11206" width="8.7109375" style="1" customWidth="1"/>
    <col min="11207" max="11212" width="8.5703125" style="1" customWidth="1"/>
    <col min="11213" max="11215" width="9" style="1" customWidth="1"/>
    <col min="11216" max="11216" width="7.140625" style="1" bestFit="1" customWidth="1"/>
    <col min="11217" max="11219" width="11.42578125" style="1" customWidth="1"/>
    <col min="11220" max="11220" width="10" style="1" customWidth="1"/>
    <col min="11221" max="11221" width="37.28515625" style="1" customWidth="1"/>
    <col min="11222" max="11222" width="8.7109375" style="1" customWidth="1"/>
    <col min="11223" max="11226" width="12.5703125" style="1" customWidth="1"/>
    <col min="11227" max="11227" width="9.7109375" style="1" customWidth="1"/>
    <col min="11228" max="11228" width="9.28515625" style="1" customWidth="1"/>
    <col min="11229" max="11229" width="8.85546875" style="1" customWidth="1"/>
    <col min="11230" max="11230" width="8.140625" style="1" customWidth="1"/>
    <col min="11231" max="11231" width="8.42578125" style="1" customWidth="1"/>
    <col min="11232" max="11232" width="9" style="1" customWidth="1"/>
    <col min="11233" max="11233" width="8.28515625" style="1" customWidth="1"/>
    <col min="11234" max="11234" width="8.85546875" style="1" customWidth="1"/>
    <col min="11235" max="11235" width="8" style="1" customWidth="1"/>
    <col min="11236" max="11237" width="8.7109375" style="1" customWidth="1"/>
    <col min="11238" max="11238" width="8.42578125" style="1" customWidth="1"/>
    <col min="11239" max="11239" width="9.140625" style="1" customWidth="1"/>
    <col min="11240" max="11240" width="9.5703125" style="1" bestFit="1" customWidth="1"/>
    <col min="11241" max="11249" width="9.5703125" style="1" customWidth="1"/>
    <col min="11250" max="11407" width="12.5703125" style="1"/>
    <col min="11408" max="11408" width="43" style="1" customWidth="1"/>
    <col min="11409" max="11412" width="7.42578125" style="1" customWidth="1"/>
    <col min="11413" max="11413" width="7" style="1" customWidth="1"/>
    <col min="11414" max="11416" width="7.42578125" style="1" customWidth="1"/>
    <col min="11417" max="11417" width="8" style="1" bestFit="1" customWidth="1"/>
    <col min="11418" max="11418" width="7.42578125" style="1" customWidth="1"/>
    <col min="11419" max="11419" width="9" style="1" bestFit="1" customWidth="1"/>
    <col min="11420" max="11436" width="9.28515625" style="1" customWidth="1"/>
    <col min="11437" max="11442" width="11.140625" style="1" customWidth="1"/>
    <col min="11443" max="11443" width="38.140625" style="1" customWidth="1"/>
    <col min="11444" max="11448" width="7.42578125" style="1" customWidth="1"/>
    <col min="11449" max="11455" width="8.85546875" style="1" customWidth="1"/>
    <col min="11456" max="11456" width="7.42578125" style="1" customWidth="1"/>
    <col min="11457" max="11461" width="8.28515625" style="1" bestFit="1" customWidth="1"/>
    <col min="11462" max="11462" width="8.7109375" style="1" customWidth="1"/>
    <col min="11463" max="11468" width="8.5703125" style="1" customWidth="1"/>
    <col min="11469" max="11471" width="9" style="1" customWidth="1"/>
    <col min="11472" max="11472" width="7.140625" style="1" bestFit="1" customWidth="1"/>
    <col min="11473" max="11475" width="11.42578125" style="1" customWidth="1"/>
    <col min="11476" max="11476" width="10" style="1" customWidth="1"/>
    <col min="11477" max="11477" width="37.28515625" style="1" customWidth="1"/>
    <col min="11478" max="11478" width="8.7109375" style="1" customWidth="1"/>
    <col min="11479" max="11482" width="12.5703125" style="1" customWidth="1"/>
    <col min="11483" max="11483" width="9.7109375" style="1" customWidth="1"/>
    <col min="11484" max="11484" width="9.28515625" style="1" customWidth="1"/>
    <col min="11485" max="11485" width="8.85546875" style="1" customWidth="1"/>
    <col min="11486" max="11486" width="8.140625" style="1" customWidth="1"/>
    <col min="11487" max="11487" width="8.42578125" style="1" customWidth="1"/>
    <col min="11488" max="11488" width="9" style="1" customWidth="1"/>
    <col min="11489" max="11489" width="8.28515625" style="1" customWidth="1"/>
    <col min="11490" max="11490" width="8.85546875" style="1" customWidth="1"/>
    <col min="11491" max="11491" width="8" style="1" customWidth="1"/>
    <col min="11492" max="11493" width="8.7109375" style="1" customWidth="1"/>
    <col min="11494" max="11494" width="8.42578125" style="1" customWidth="1"/>
    <col min="11495" max="11495" width="9.140625" style="1" customWidth="1"/>
    <col min="11496" max="11496" width="9.5703125" style="1" bestFit="1" customWidth="1"/>
    <col min="11497" max="11505" width="9.5703125" style="1" customWidth="1"/>
    <col min="11506" max="11663" width="12.5703125" style="1"/>
    <col min="11664" max="11664" width="43" style="1" customWidth="1"/>
    <col min="11665" max="11668" width="7.42578125" style="1" customWidth="1"/>
    <col min="11669" max="11669" width="7" style="1" customWidth="1"/>
    <col min="11670" max="11672" width="7.42578125" style="1" customWidth="1"/>
    <col min="11673" max="11673" width="8" style="1" bestFit="1" customWidth="1"/>
    <col min="11674" max="11674" width="7.42578125" style="1" customWidth="1"/>
    <col min="11675" max="11675" width="9" style="1" bestFit="1" customWidth="1"/>
    <col min="11676" max="11692" width="9.28515625" style="1" customWidth="1"/>
    <col min="11693" max="11698" width="11.140625" style="1" customWidth="1"/>
    <col min="11699" max="11699" width="38.140625" style="1" customWidth="1"/>
    <col min="11700" max="11704" width="7.42578125" style="1" customWidth="1"/>
    <col min="11705" max="11711" width="8.85546875" style="1" customWidth="1"/>
    <col min="11712" max="11712" width="7.42578125" style="1" customWidth="1"/>
    <col min="11713" max="11717" width="8.28515625" style="1" bestFit="1" customWidth="1"/>
    <col min="11718" max="11718" width="8.7109375" style="1" customWidth="1"/>
    <col min="11719" max="11724" width="8.5703125" style="1" customWidth="1"/>
    <col min="11725" max="11727" width="9" style="1" customWidth="1"/>
    <col min="11728" max="11728" width="7.140625" style="1" bestFit="1" customWidth="1"/>
    <col min="11729" max="11731" width="11.42578125" style="1" customWidth="1"/>
    <col min="11732" max="11732" width="10" style="1" customWidth="1"/>
    <col min="11733" max="11733" width="37.28515625" style="1" customWidth="1"/>
    <col min="11734" max="11734" width="8.7109375" style="1" customWidth="1"/>
    <col min="11735" max="11738" width="12.5703125" style="1" customWidth="1"/>
    <col min="11739" max="11739" width="9.7109375" style="1" customWidth="1"/>
    <col min="11740" max="11740" width="9.28515625" style="1" customWidth="1"/>
    <col min="11741" max="11741" width="8.85546875" style="1" customWidth="1"/>
    <col min="11742" max="11742" width="8.140625" style="1" customWidth="1"/>
    <col min="11743" max="11743" width="8.42578125" style="1" customWidth="1"/>
    <col min="11744" max="11744" width="9" style="1" customWidth="1"/>
    <col min="11745" max="11745" width="8.28515625" style="1" customWidth="1"/>
    <col min="11746" max="11746" width="8.85546875" style="1" customWidth="1"/>
    <col min="11747" max="11747" width="8" style="1" customWidth="1"/>
    <col min="11748" max="11749" width="8.7109375" style="1" customWidth="1"/>
    <col min="11750" max="11750" width="8.42578125" style="1" customWidth="1"/>
    <col min="11751" max="11751" width="9.140625" style="1" customWidth="1"/>
    <col min="11752" max="11752" width="9.5703125" style="1" bestFit="1" customWidth="1"/>
    <col min="11753" max="11761" width="9.5703125" style="1" customWidth="1"/>
    <col min="11762" max="11919" width="12.5703125" style="1"/>
    <col min="11920" max="11920" width="43" style="1" customWidth="1"/>
    <col min="11921" max="11924" width="7.42578125" style="1" customWidth="1"/>
    <col min="11925" max="11925" width="7" style="1" customWidth="1"/>
    <col min="11926" max="11928" width="7.42578125" style="1" customWidth="1"/>
    <col min="11929" max="11929" width="8" style="1" bestFit="1" customWidth="1"/>
    <col min="11930" max="11930" width="7.42578125" style="1" customWidth="1"/>
    <col min="11931" max="11931" width="9" style="1" bestFit="1" customWidth="1"/>
    <col min="11932" max="11948" width="9.28515625" style="1" customWidth="1"/>
    <col min="11949" max="11954" width="11.140625" style="1" customWidth="1"/>
    <col min="11955" max="11955" width="38.140625" style="1" customWidth="1"/>
    <col min="11956" max="11960" width="7.42578125" style="1" customWidth="1"/>
    <col min="11961" max="11967" width="8.85546875" style="1" customWidth="1"/>
    <col min="11968" max="11968" width="7.42578125" style="1" customWidth="1"/>
    <col min="11969" max="11973" width="8.28515625" style="1" bestFit="1" customWidth="1"/>
    <col min="11974" max="11974" width="8.7109375" style="1" customWidth="1"/>
    <col min="11975" max="11980" width="8.5703125" style="1" customWidth="1"/>
    <col min="11981" max="11983" width="9" style="1" customWidth="1"/>
    <col min="11984" max="11984" width="7.140625" style="1" bestFit="1" customWidth="1"/>
    <col min="11985" max="11987" width="11.42578125" style="1" customWidth="1"/>
    <col min="11988" max="11988" width="10" style="1" customWidth="1"/>
    <col min="11989" max="11989" width="37.28515625" style="1" customWidth="1"/>
    <col min="11990" max="11990" width="8.7109375" style="1" customWidth="1"/>
    <col min="11991" max="11994" width="12.5703125" style="1" customWidth="1"/>
    <col min="11995" max="11995" width="9.7109375" style="1" customWidth="1"/>
    <col min="11996" max="11996" width="9.28515625" style="1" customWidth="1"/>
    <col min="11997" max="11997" width="8.85546875" style="1" customWidth="1"/>
    <col min="11998" max="11998" width="8.140625" style="1" customWidth="1"/>
    <col min="11999" max="11999" width="8.42578125" style="1" customWidth="1"/>
    <col min="12000" max="12000" width="9" style="1" customWidth="1"/>
    <col min="12001" max="12001" width="8.28515625" style="1" customWidth="1"/>
    <col min="12002" max="12002" width="8.85546875" style="1" customWidth="1"/>
    <col min="12003" max="12003" width="8" style="1" customWidth="1"/>
    <col min="12004" max="12005" width="8.7109375" style="1" customWidth="1"/>
    <col min="12006" max="12006" width="8.42578125" style="1" customWidth="1"/>
    <col min="12007" max="12007" width="9.140625" style="1" customWidth="1"/>
    <col min="12008" max="12008" width="9.5703125" style="1" bestFit="1" customWidth="1"/>
    <col min="12009" max="12017" width="9.5703125" style="1" customWidth="1"/>
    <col min="12018" max="12175" width="12.5703125" style="1"/>
    <col min="12176" max="12176" width="43" style="1" customWidth="1"/>
    <col min="12177" max="12180" width="7.42578125" style="1" customWidth="1"/>
    <col min="12181" max="12181" width="7" style="1" customWidth="1"/>
    <col min="12182" max="12184" width="7.42578125" style="1" customWidth="1"/>
    <col min="12185" max="12185" width="8" style="1" bestFit="1" customWidth="1"/>
    <col min="12186" max="12186" width="7.42578125" style="1" customWidth="1"/>
    <col min="12187" max="12187" width="9" style="1" bestFit="1" customWidth="1"/>
    <col min="12188" max="12204" width="9.28515625" style="1" customWidth="1"/>
    <col min="12205" max="12210" width="11.140625" style="1" customWidth="1"/>
    <col min="12211" max="12211" width="38.140625" style="1" customWidth="1"/>
    <col min="12212" max="12216" width="7.42578125" style="1" customWidth="1"/>
    <col min="12217" max="12223" width="8.85546875" style="1" customWidth="1"/>
    <col min="12224" max="12224" width="7.42578125" style="1" customWidth="1"/>
    <col min="12225" max="12229" width="8.28515625" style="1" bestFit="1" customWidth="1"/>
    <col min="12230" max="12230" width="8.7109375" style="1" customWidth="1"/>
    <col min="12231" max="12236" width="8.5703125" style="1" customWidth="1"/>
    <col min="12237" max="12239" width="9" style="1" customWidth="1"/>
    <col min="12240" max="12240" width="7.140625" style="1" bestFit="1" customWidth="1"/>
    <col min="12241" max="12243" width="11.42578125" style="1" customWidth="1"/>
    <col min="12244" max="12244" width="10" style="1" customWidth="1"/>
    <col min="12245" max="12245" width="37.28515625" style="1" customWidth="1"/>
    <col min="12246" max="12246" width="8.7109375" style="1" customWidth="1"/>
    <col min="12247" max="12250" width="12.5703125" style="1" customWidth="1"/>
    <col min="12251" max="12251" width="9.7109375" style="1" customWidth="1"/>
    <col min="12252" max="12252" width="9.28515625" style="1" customWidth="1"/>
    <col min="12253" max="12253" width="8.85546875" style="1" customWidth="1"/>
    <col min="12254" max="12254" width="8.140625" style="1" customWidth="1"/>
    <col min="12255" max="12255" width="8.42578125" style="1" customWidth="1"/>
    <col min="12256" max="12256" width="9" style="1" customWidth="1"/>
    <col min="12257" max="12257" width="8.28515625" style="1" customWidth="1"/>
    <col min="12258" max="12258" width="8.85546875" style="1" customWidth="1"/>
    <col min="12259" max="12259" width="8" style="1" customWidth="1"/>
    <col min="12260" max="12261" width="8.7109375" style="1" customWidth="1"/>
    <col min="12262" max="12262" width="8.42578125" style="1" customWidth="1"/>
    <col min="12263" max="12263" width="9.140625" style="1" customWidth="1"/>
    <col min="12264" max="12264" width="9.5703125" style="1" bestFit="1" customWidth="1"/>
    <col min="12265" max="12273" width="9.5703125" style="1" customWidth="1"/>
    <col min="12274" max="12431" width="12.5703125" style="1"/>
    <col min="12432" max="12432" width="43" style="1" customWidth="1"/>
    <col min="12433" max="12436" width="7.42578125" style="1" customWidth="1"/>
    <col min="12437" max="12437" width="7" style="1" customWidth="1"/>
    <col min="12438" max="12440" width="7.42578125" style="1" customWidth="1"/>
    <col min="12441" max="12441" width="8" style="1" bestFit="1" customWidth="1"/>
    <col min="12442" max="12442" width="7.42578125" style="1" customWidth="1"/>
    <col min="12443" max="12443" width="9" style="1" bestFit="1" customWidth="1"/>
    <col min="12444" max="12460" width="9.28515625" style="1" customWidth="1"/>
    <col min="12461" max="12466" width="11.140625" style="1" customWidth="1"/>
    <col min="12467" max="12467" width="38.140625" style="1" customWidth="1"/>
    <col min="12468" max="12472" width="7.42578125" style="1" customWidth="1"/>
    <col min="12473" max="12479" width="8.85546875" style="1" customWidth="1"/>
    <col min="12480" max="12480" width="7.42578125" style="1" customWidth="1"/>
    <col min="12481" max="12485" width="8.28515625" style="1" bestFit="1" customWidth="1"/>
    <col min="12486" max="12486" width="8.7109375" style="1" customWidth="1"/>
    <col min="12487" max="12492" width="8.5703125" style="1" customWidth="1"/>
    <col min="12493" max="12495" width="9" style="1" customWidth="1"/>
    <col min="12496" max="12496" width="7.140625" style="1" bestFit="1" customWidth="1"/>
    <col min="12497" max="12499" width="11.42578125" style="1" customWidth="1"/>
    <col min="12500" max="12500" width="10" style="1" customWidth="1"/>
    <col min="12501" max="12501" width="37.28515625" style="1" customWidth="1"/>
    <col min="12502" max="12502" width="8.7109375" style="1" customWidth="1"/>
    <col min="12503" max="12506" width="12.5703125" style="1" customWidth="1"/>
    <col min="12507" max="12507" width="9.7109375" style="1" customWidth="1"/>
    <col min="12508" max="12508" width="9.28515625" style="1" customWidth="1"/>
    <col min="12509" max="12509" width="8.85546875" style="1" customWidth="1"/>
    <col min="12510" max="12510" width="8.140625" style="1" customWidth="1"/>
    <col min="12511" max="12511" width="8.42578125" style="1" customWidth="1"/>
    <col min="12512" max="12512" width="9" style="1" customWidth="1"/>
    <col min="12513" max="12513" width="8.28515625" style="1" customWidth="1"/>
    <col min="12514" max="12514" width="8.85546875" style="1" customWidth="1"/>
    <col min="12515" max="12515" width="8" style="1" customWidth="1"/>
    <col min="12516" max="12517" width="8.7109375" style="1" customWidth="1"/>
    <col min="12518" max="12518" width="8.42578125" style="1" customWidth="1"/>
    <col min="12519" max="12519" width="9.140625" style="1" customWidth="1"/>
    <col min="12520" max="12520" width="9.5703125" style="1" bestFit="1" customWidth="1"/>
    <col min="12521" max="12529" width="9.5703125" style="1" customWidth="1"/>
    <col min="12530" max="12687" width="12.5703125" style="1"/>
    <col min="12688" max="12688" width="43" style="1" customWidth="1"/>
    <col min="12689" max="12692" width="7.42578125" style="1" customWidth="1"/>
    <col min="12693" max="12693" width="7" style="1" customWidth="1"/>
    <col min="12694" max="12696" width="7.42578125" style="1" customWidth="1"/>
    <col min="12697" max="12697" width="8" style="1" bestFit="1" customWidth="1"/>
    <col min="12698" max="12698" width="7.42578125" style="1" customWidth="1"/>
    <col min="12699" max="12699" width="9" style="1" bestFit="1" customWidth="1"/>
    <col min="12700" max="12716" width="9.28515625" style="1" customWidth="1"/>
    <col min="12717" max="12722" width="11.140625" style="1" customWidth="1"/>
    <col min="12723" max="12723" width="38.140625" style="1" customWidth="1"/>
    <col min="12724" max="12728" width="7.42578125" style="1" customWidth="1"/>
    <col min="12729" max="12735" width="8.85546875" style="1" customWidth="1"/>
    <col min="12736" max="12736" width="7.42578125" style="1" customWidth="1"/>
    <col min="12737" max="12741" width="8.28515625" style="1" bestFit="1" customWidth="1"/>
    <col min="12742" max="12742" width="8.7109375" style="1" customWidth="1"/>
    <col min="12743" max="12748" width="8.5703125" style="1" customWidth="1"/>
    <col min="12749" max="12751" width="9" style="1" customWidth="1"/>
    <col min="12752" max="12752" width="7.140625" style="1" bestFit="1" customWidth="1"/>
    <col min="12753" max="12755" width="11.42578125" style="1" customWidth="1"/>
    <col min="12756" max="12756" width="10" style="1" customWidth="1"/>
    <col min="12757" max="12757" width="37.28515625" style="1" customWidth="1"/>
    <col min="12758" max="12758" width="8.7109375" style="1" customWidth="1"/>
    <col min="12759" max="12762" width="12.5703125" style="1" customWidth="1"/>
    <col min="12763" max="12763" width="9.7109375" style="1" customWidth="1"/>
    <col min="12764" max="12764" width="9.28515625" style="1" customWidth="1"/>
    <col min="12765" max="12765" width="8.85546875" style="1" customWidth="1"/>
    <col min="12766" max="12766" width="8.140625" style="1" customWidth="1"/>
    <col min="12767" max="12767" width="8.42578125" style="1" customWidth="1"/>
    <col min="12768" max="12768" width="9" style="1" customWidth="1"/>
    <col min="12769" max="12769" width="8.28515625" style="1" customWidth="1"/>
    <col min="12770" max="12770" width="8.85546875" style="1" customWidth="1"/>
    <col min="12771" max="12771" width="8" style="1" customWidth="1"/>
    <col min="12772" max="12773" width="8.7109375" style="1" customWidth="1"/>
    <col min="12774" max="12774" width="8.42578125" style="1" customWidth="1"/>
    <col min="12775" max="12775" width="9.140625" style="1" customWidth="1"/>
    <col min="12776" max="12776" width="9.5703125" style="1" bestFit="1" customWidth="1"/>
    <col min="12777" max="12785" width="9.5703125" style="1" customWidth="1"/>
    <col min="12786" max="12943" width="12.5703125" style="1"/>
    <col min="12944" max="12944" width="43" style="1" customWidth="1"/>
    <col min="12945" max="12948" width="7.42578125" style="1" customWidth="1"/>
    <col min="12949" max="12949" width="7" style="1" customWidth="1"/>
    <col min="12950" max="12952" width="7.42578125" style="1" customWidth="1"/>
    <col min="12953" max="12953" width="8" style="1" bestFit="1" customWidth="1"/>
    <col min="12954" max="12954" width="7.42578125" style="1" customWidth="1"/>
    <col min="12955" max="12955" width="9" style="1" bestFit="1" customWidth="1"/>
    <col min="12956" max="12972" width="9.28515625" style="1" customWidth="1"/>
    <col min="12973" max="12978" width="11.140625" style="1" customWidth="1"/>
    <col min="12979" max="12979" width="38.140625" style="1" customWidth="1"/>
    <col min="12980" max="12984" width="7.42578125" style="1" customWidth="1"/>
    <col min="12985" max="12991" width="8.85546875" style="1" customWidth="1"/>
    <col min="12992" max="12992" width="7.42578125" style="1" customWidth="1"/>
    <col min="12993" max="12997" width="8.28515625" style="1" bestFit="1" customWidth="1"/>
    <col min="12998" max="12998" width="8.7109375" style="1" customWidth="1"/>
    <col min="12999" max="13004" width="8.5703125" style="1" customWidth="1"/>
    <col min="13005" max="13007" width="9" style="1" customWidth="1"/>
    <col min="13008" max="13008" width="7.140625" style="1" bestFit="1" customWidth="1"/>
    <col min="13009" max="13011" width="11.42578125" style="1" customWidth="1"/>
    <col min="13012" max="13012" width="10" style="1" customWidth="1"/>
    <col min="13013" max="13013" width="37.28515625" style="1" customWidth="1"/>
    <col min="13014" max="13014" width="8.7109375" style="1" customWidth="1"/>
    <col min="13015" max="13018" width="12.5703125" style="1" customWidth="1"/>
    <col min="13019" max="13019" width="9.7109375" style="1" customWidth="1"/>
    <col min="13020" max="13020" width="9.28515625" style="1" customWidth="1"/>
    <col min="13021" max="13021" width="8.85546875" style="1" customWidth="1"/>
    <col min="13022" max="13022" width="8.140625" style="1" customWidth="1"/>
    <col min="13023" max="13023" width="8.42578125" style="1" customWidth="1"/>
    <col min="13024" max="13024" width="9" style="1" customWidth="1"/>
    <col min="13025" max="13025" width="8.28515625" style="1" customWidth="1"/>
    <col min="13026" max="13026" width="8.85546875" style="1" customWidth="1"/>
    <col min="13027" max="13027" width="8" style="1" customWidth="1"/>
    <col min="13028" max="13029" width="8.7109375" style="1" customWidth="1"/>
    <col min="13030" max="13030" width="8.42578125" style="1" customWidth="1"/>
    <col min="13031" max="13031" width="9.140625" style="1" customWidth="1"/>
    <col min="13032" max="13032" width="9.5703125" style="1" bestFit="1" customWidth="1"/>
    <col min="13033" max="13041" width="9.5703125" style="1" customWidth="1"/>
    <col min="13042" max="13199" width="12.5703125" style="1"/>
    <col min="13200" max="13200" width="43" style="1" customWidth="1"/>
    <col min="13201" max="13204" width="7.42578125" style="1" customWidth="1"/>
    <col min="13205" max="13205" width="7" style="1" customWidth="1"/>
    <col min="13206" max="13208" width="7.42578125" style="1" customWidth="1"/>
    <col min="13209" max="13209" width="8" style="1" bestFit="1" customWidth="1"/>
    <col min="13210" max="13210" width="7.42578125" style="1" customWidth="1"/>
    <col min="13211" max="13211" width="9" style="1" bestFit="1" customWidth="1"/>
    <col min="13212" max="13228" width="9.28515625" style="1" customWidth="1"/>
    <col min="13229" max="13234" width="11.140625" style="1" customWidth="1"/>
    <col min="13235" max="13235" width="38.140625" style="1" customWidth="1"/>
    <col min="13236" max="13240" width="7.42578125" style="1" customWidth="1"/>
    <col min="13241" max="13247" width="8.85546875" style="1" customWidth="1"/>
    <col min="13248" max="13248" width="7.42578125" style="1" customWidth="1"/>
    <col min="13249" max="13253" width="8.28515625" style="1" bestFit="1" customWidth="1"/>
    <col min="13254" max="13254" width="8.7109375" style="1" customWidth="1"/>
    <col min="13255" max="13260" width="8.5703125" style="1" customWidth="1"/>
    <col min="13261" max="13263" width="9" style="1" customWidth="1"/>
    <col min="13264" max="13264" width="7.140625" style="1" bestFit="1" customWidth="1"/>
    <col min="13265" max="13267" width="11.42578125" style="1" customWidth="1"/>
    <col min="13268" max="13268" width="10" style="1" customWidth="1"/>
    <col min="13269" max="13269" width="37.28515625" style="1" customWidth="1"/>
    <col min="13270" max="13270" width="8.7109375" style="1" customWidth="1"/>
    <col min="13271" max="13274" width="12.5703125" style="1" customWidth="1"/>
    <col min="13275" max="13275" width="9.7109375" style="1" customWidth="1"/>
    <col min="13276" max="13276" width="9.28515625" style="1" customWidth="1"/>
    <col min="13277" max="13277" width="8.85546875" style="1" customWidth="1"/>
    <col min="13278" max="13278" width="8.140625" style="1" customWidth="1"/>
    <col min="13279" max="13279" width="8.42578125" style="1" customWidth="1"/>
    <col min="13280" max="13280" width="9" style="1" customWidth="1"/>
    <col min="13281" max="13281" width="8.28515625" style="1" customWidth="1"/>
    <col min="13282" max="13282" width="8.85546875" style="1" customWidth="1"/>
    <col min="13283" max="13283" width="8" style="1" customWidth="1"/>
    <col min="13284" max="13285" width="8.7109375" style="1" customWidth="1"/>
    <col min="13286" max="13286" width="8.42578125" style="1" customWidth="1"/>
    <col min="13287" max="13287" width="9.140625" style="1" customWidth="1"/>
    <col min="13288" max="13288" width="9.5703125" style="1" bestFit="1" customWidth="1"/>
    <col min="13289" max="13297" width="9.5703125" style="1" customWidth="1"/>
    <col min="13298" max="13455" width="12.5703125" style="1"/>
    <col min="13456" max="13456" width="43" style="1" customWidth="1"/>
    <col min="13457" max="13460" width="7.42578125" style="1" customWidth="1"/>
    <col min="13461" max="13461" width="7" style="1" customWidth="1"/>
    <col min="13462" max="13464" width="7.42578125" style="1" customWidth="1"/>
    <col min="13465" max="13465" width="8" style="1" bestFit="1" customWidth="1"/>
    <col min="13466" max="13466" width="7.42578125" style="1" customWidth="1"/>
    <col min="13467" max="13467" width="9" style="1" bestFit="1" customWidth="1"/>
    <col min="13468" max="13484" width="9.28515625" style="1" customWidth="1"/>
    <col min="13485" max="13490" width="11.140625" style="1" customWidth="1"/>
    <col min="13491" max="13491" width="38.140625" style="1" customWidth="1"/>
    <col min="13492" max="13496" width="7.42578125" style="1" customWidth="1"/>
    <col min="13497" max="13503" width="8.85546875" style="1" customWidth="1"/>
    <col min="13504" max="13504" width="7.42578125" style="1" customWidth="1"/>
    <col min="13505" max="13509" width="8.28515625" style="1" bestFit="1" customWidth="1"/>
    <col min="13510" max="13510" width="8.7109375" style="1" customWidth="1"/>
    <col min="13511" max="13516" width="8.5703125" style="1" customWidth="1"/>
    <col min="13517" max="13519" width="9" style="1" customWidth="1"/>
    <col min="13520" max="13520" width="7.140625" style="1" bestFit="1" customWidth="1"/>
    <col min="13521" max="13523" width="11.42578125" style="1" customWidth="1"/>
    <col min="13524" max="13524" width="10" style="1" customWidth="1"/>
    <col min="13525" max="13525" width="37.28515625" style="1" customWidth="1"/>
    <col min="13526" max="13526" width="8.7109375" style="1" customWidth="1"/>
    <col min="13527" max="13530" width="12.5703125" style="1" customWidth="1"/>
    <col min="13531" max="13531" width="9.7109375" style="1" customWidth="1"/>
    <col min="13532" max="13532" width="9.28515625" style="1" customWidth="1"/>
    <col min="13533" max="13533" width="8.85546875" style="1" customWidth="1"/>
    <col min="13534" max="13534" width="8.140625" style="1" customWidth="1"/>
    <col min="13535" max="13535" width="8.42578125" style="1" customWidth="1"/>
    <col min="13536" max="13536" width="9" style="1" customWidth="1"/>
    <col min="13537" max="13537" width="8.28515625" style="1" customWidth="1"/>
    <col min="13538" max="13538" width="8.85546875" style="1" customWidth="1"/>
    <col min="13539" max="13539" width="8" style="1" customWidth="1"/>
    <col min="13540" max="13541" width="8.7109375" style="1" customWidth="1"/>
    <col min="13542" max="13542" width="8.42578125" style="1" customWidth="1"/>
    <col min="13543" max="13543" width="9.140625" style="1" customWidth="1"/>
    <col min="13544" max="13544" width="9.5703125" style="1" bestFit="1" customWidth="1"/>
    <col min="13545" max="13553" width="9.5703125" style="1" customWidth="1"/>
    <col min="13554" max="13711" width="12.5703125" style="1"/>
    <col min="13712" max="13712" width="43" style="1" customWidth="1"/>
    <col min="13713" max="13716" width="7.42578125" style="1" customWidth="1"/>
    <col min="13717" max="13717" width="7" style="1" customWidth="1"/>
    <col min="13718" max="13720" width="7.42578125" style="1" customWidth="1"/>
    <col min="13721" max="13721" width="8" style="1" bestFit="1" customWidth="1"/>
    <col min="13722" max="13722" width="7.42578125" style="1" customWidth="1"/>
    <col min="13723" max="13723" width="9" style="1" bestFit="1" customWidth="1"/>
    <col min="13724" max="13740" width="9.28515625" style="1" customWidth="1"/>
    <col min="13741" max="13746" width="11.140625" style="1" customWidth="1"/>
    <col min="13747" max="13747" width="38.140625" style="1" customWidth="1"/>
    <col min="13748" max="13752" width="7.42578125" style="1" customWidth="1"/>
    <col min="13753" max="13759" width="8.85546875" style="1" customWidth="1"/>
    <col min="13760" max="13760" width="7.42578125" style="1" customWidth="1"/>
    <col min="13761" max="13765" width="8.28515625" style="1" bestFit="1" customWidth="1"/>
    <col min="13766" max="13766" width="8.7109375" style="1" customWidth="1"/>
    <col min="13767" max="13772" width="8.5703125" style="1" customWidth="1"/>
    <col min="13773" max="13775" width="9" style="1" customWidth="1"/>
    <col min="13776" max="13776" width="7.140625" style="1" bestFit="1" customWidth="1"/>
    <col min="13777" max="13779" width="11.42578125" style="1" customWidth="1"/>
    <col min="13780" max="13780" width="10" style="1" customWidth="1"/>
    <col min="13781" max="13781" width="37.28515625" style="1" customWidth="1"/>
    <col min="13782" max="13782" width="8.7109375" style="1" customWidth="1"/>
    <col min="13783" max="13786" width="12.5703125" style="1" customWidth="1"/>
    <col min="13787" max="13787" width="9.7109375" style="1" customWidth="1"/>
    <col min="13788" max="13788" width="9.28515625" style="1" customWidth="1"/>
    <col min="13789" max="13789" width="8.85546875" style="1" customWidth="1"/>
    <col min="13790" max="13790" width="8.140625" style="1" customWidth="1"/>
    <col min="13791" max="13791" width="8.42578125" style="1" customWidth="1"/>
    <col min="13792" max="13792" width="9" style="1" customWidth="1"/>
    <col min="13793" max="13793" width="8.28515625" style="1" customWidth="1"/>
    <col min="13794" max="13794" width="8.85546875" style="1" customWidth="1"/>
    <col min="13795" max="13795" width="8" style="1" customWidth="1"/>
    <col min="13796" max="13797" width="8.7109375" style="1" customWidth="1"/>
    <col min="13798" max="13798" width="8.42578125" style="1" customWidth="1"/>
    <col min="13799" max="13799" width="9.140625" style="1" customWidth="1"/>
    <col min="13800" max="13800" width="9.5703125" style="1" bestFit="1" customWidth="1"/>
    <col min="13801" max="13809" width="9.5703125" style="1" customWidth="1"/>
    <col min="13810" max="13967" width="12.5703125" style="1"/>
    <col min="13968" max="13968" width="43" style="1" customWidth="1"/>
    <col min="13969" max="13972" width="7.42578125" style="1" customWidth="1"/>
    <col min="13973" max="13973" width="7" style="1" customWidth="1"/>
    <col min="13974" max="13976" width="7.42578125" style="1" customWidth="1"/>
    <col min="13977" max="13977" width="8" style="1" bestFit="1" customWidth="1"/>
    <col min="13978" max="13978" width="7.42578125" style="1" customWidth="1"/>
    <col min="13979" max="13979" width="9" style="1" bestFit="1" customWidth="1"/>
    <col min="13980" max="13996" width="9.28515625" style="1" customWidth="1"/>
    <col min="13997" max="14002" width="11.140625" style="1" customWidth="1"/>
    <col min="14003" max="14003" width="38.140625" style="1" customWidth="1"/>
    <col min="14004" max="14008" width="7.42578125" style="1" customWidth="1"/>
    <col min="14009" max="14015" width="8.85546875" style="1" customWidth="1"/>
    <col min="14016" max="14016" width="7.42578125" style="1" customWidth="1"/>
    <col min="14017" max="14021" width="8.28515625" style="1" bestFit="1" customWidth="1"/>
    <col min="14022" max="14022" width="8.7109375" style="1" customWidth="1"/>
    <col min="14023" max="14028" width="8.5703125" style="1" customWidth="1"/>
    <col min="14029" max="14031" width="9" style="1" customWidth="1"/>
    <col min="14032" max="14032" width="7.140625" style="1" bestFit="1" customWidth="1"/>
    <col min="14033" max="14035" width="11.42578125" style="1" customWidth="1"/>
    <col min="14036" max="14036" width="10" style="1" customWidth="1"/>
    <col min="14037" max="14037" width="37.28515625" style="1" customWidth="1"/>
    <col min="14038" max="14038" width="8.7109375" style="1" customWidth="1"/>
    <col min="14039" max="14042" width="12.5703125" style="1" customWidth="1"/>
    <col min="14043" max="14043" width="9.7109375" style="1" customWidth="1"/>
    <col min="14044" max="14044" width="9.28515625" style="1" customWidth="1"/>
    <col min="14045" max="14045" width="8.85546875" style="1" customWidth="1"/>
    <col min="14046" max="14046" width="8.140625" style="1" customWidth="1"/>
    <col min="14047" max="14047" width="8.42578125" style="1" customWidth="1"/>
    <col min="14048" max="14048" width="9" style="1" customWidth="1"/>
    <col min="14049" max="14049" width="8.28515625" style="1" customWidth="1"/>
    <col min="14050" max="14050" width="8.85546875" style="1" customWidth="1"/>
    <col min="14051" max="14051" width="8" style="1" customWidth="1"/>
    <col min="14052" max="14053" width="8.7109375" style="1" customWidth="1"/>
    <col min="14054" max="14054" width="8.42578125" style="1" customWidth="1"/>
    <col min="14055" max="14055" width="9.140625" style="1" customWidth="1"/>
    <col min="14056" max="14056" width="9.5703125" style="1" bestFit="1" customWidth="1"/>
    <col min="14057" max="14065" width="9.5703125" style="1" customWidth="1"/>
    <col min="14066" max="14223" width="12.5703125" style="1"/>
    <col min="14224" max="14224" width="43" style="1" customWidth="1"/>
    <col min="14225" max="14228" width="7.42578125" style="1" customWidth="1"/>
    <col min="14229" max="14229" width="7" style="1" customWidth="1"/>
    <col min="14230" max="14232" width="7.42578125" style="1" customWidth="1"/>
    <col min="14233" max="14233" width="8" style="1" bestFit="1" customWidth="1"/>
    <col min="14234" max="14234" width="7.42578125" style="1" customWidth="1"/>
    <col min="14235" max="14235" width="9" style="1" bestFit="1" customWidth="1"/>
    <col min="14236" max="14252" width="9.28515625" style="1" customWidth="1"/>
    <col min="14253" max="14258" width="11.140625" style="1" customWidth="1"/>
    <col min="14259" max="14259" width="38.140625" style="1" customWidth="1"/>
    <col min="14260" max="14264" width="7.42578125" style="1" customWidth="1"/>
    <col min="14265" max="14271" width="8.85546875" style="1" customWidth="1"/>
    <col min="14272" max="14272" width="7.42578125" style="1" customWidth="1"/>
    <col min="14273" max="14277" width="8.28515625" style="1" bestFit="1" customWidth="1"/>
    <col min="14278" max="14278" width="8.7109375" style="1" customWidth="1"/>
    <col min="14279" max="14284" width="8.5703125" style="1" customWidth="1"/>
    <col min="14285" max="14287" width="9" style="1" customWidth="1"/>
    <col min="14288" max="14288" width="7.140625" style="1" bestFit="1" customWidth="1"/>
    <col min="14289" max="14291" width="11.42578125" style="1" customWidth="1"/>
    <col min="14292" max="14292" width="10" style="1" customWidth="1"/>
    <col min="14293" max="14293" width="37.28515625" style="1" customWidth="1"/>
    <col min="14294" max="14294" width="8.7109375" style="1" customWidth="1"/>
    <col min="14295" max="14298" width="12.5703125" style="1" customWidth="1"/>
    <col min="14299" max="14299" width="9.7109375" style="1" customWidth="1"/>
    <col min="14300" max="14300" width="9.28515625" style="1" customWidth="1"/>
    <col min="14301" max="14301" width="8.85546875" style="1" customWidth="1"/>
    <col min="14302" max="14302" width="8.140625" style="1" customWidth="1"/>
    <col min="14303" max="14303" width="8.42578125" style="1" customWidth="1"/>
    <col min="14304" max="14304" width="9" style="1" customWidth="1"/>
    <col min="14305" max="14305" width="8.28515625" style="1" customWidth="1"/>
    <col min="14306" max="14306" width="8.85546875" style="1" customWidth="1"/>
    <col min="14307" max="14307" width="8" style="1" customWidth="1"/>
    <col min="14308" max="14309" width="8.7109375" style="1" customWidth="1"/>
    <col min="14310" max="14310" width="8.42578125" style="1" customWidth="1"/>
    <col min="14311" max="14311" width="9.140625" style="1" customWidth="1"/>
    <col min="14312" max="14312" width="9.5703125" style="1" bestFit="1" customWidth="1"/>
    <col min="14313" max="14321" width="9.5703125" style="1" customWidth="1"/>
    <col min="14322" max="14479" width="12.5703125" style="1"/>
    <col min="14480" max="14480" width="43" style="1" customWidth="1"/>
    <col min="14481" max="14484" width="7.42578125" style="1" customWidth="1"/>
    <col min="14485" max="14485" width="7" style="1" customWidth="1"/>
    <col min="14486" max="14488" width="7.42578125" style="1" customWidth="1"/>
    <col min="14489" max="14489" width="8" style="1" bestFit="1" customWidth="1"/>
    <col min="14490" max="14490" width="7.42578125" style="1" customWidth="1"/>
    <col min="14491" max="14491" width="9" style="1" bestFit="1" customWidth="1"/>
    <col min="14492" max="14508" width="9.28515625" style="1" customWidth="1"/>
    <col min="14509" max="14514" width="11.140625" style="1" customWidth="1"/>
    <col min="14515" max="14515" width="38.140625" style="1" customWidth="1"/>
    <col min="14516" max="14520" width="7.42578125" style="1" customWidth="1"/>
    <col min="14521" max="14527" width="8.85546875" style="1" customWidth="1"/>
    <col min="14528" max="14528" width="7.42578125" style="1" customWidth="1"/>
    <col min="14529" max="14533" width="8.28515625" style="1" bestFit="1" customWidth="1"/>
    <col min="14534" max="14534" width="8.7109375" style="1" customWidth="1"/>
    <col min="14535" max="14540" width="8.5703125" style="1" customWidth="1"/>
    <col min="14541" max="14543" width="9" style="1" customWidth="1"/>
    <col min="14544" max="14544" width="7.140625" style="1" bestFit="1" customWidth="1"/>
    <col min="14545" max="14547" width="11.42578125" style="1" customWidth="1"/>
    <col min="14548" max="14548" width="10" style="1" customWidth="1"/>
    <col min="14549" max="14549" width="37.28515625" style="1" customWidth="1"/>
    <col min="14550" max="14550" width="8.7109375" style="1" customWidth="1"/>
    <col min="14551" max="14554" width="12.5703125" style="1" customWidth="1"/>
    <col min="14555" max="14555" width="9.7109375" style="1" customWidth="1"/>
    <col min="14556" max="14556" width="9.28515625" style="1" customWidth="1"/>
    <col min="14557" max="14557" width="8.85546875" style="1" customWidth="1"/>
    <col min="14558" max="14558" width="8.140625" style="1" customWidth="1"/>
    <col min="14559" max="14559" width="8.42578125" style="1" customWidth="1"/>
    <col min="14560" max="14560" width="9" style="1" customWidth="1"/>
    <col min="14561" max="14561" width="8.28515625" style="1" customWidth="1"/>
    <col min="14562" max="14562" width="8.85546875" style="1" customWidth="1"/>
    <col min="14563" max="14563" width="8" style="1" customWidth="1"/>
    <col min="14564" max="14565" width="8.7109375" style="1" customWidth="1"/>
    <col min="14566" max="14566" width="8.42578125" style="1" customWidth="1"/>
    <col min="14567" max="14567" width="9.140625" style="1" customWidth="1"/>
    <col min="14568" max="14568" width="9.5703125" style="1" bestFit="1" customWidth="1"/>
    <col min="14569" max="14577" width="9.5703125" style="1" customWidth="1"/>
    <col min="14578" max="14735" width="12.5703125" style="1"/>
    <col min="14736" max="14736" width="43" style="1" customWidth="1"/>
    <col min="14737" max="14740" width="7.42578125" style="1" customWidth="1"/>
    <col min="14741" max="14741" width="7" style="1" customWidth="1"/>
    <col min="14742" max="14744" width="7.42578125" style="1" customWidth="1"/>
    <col min="14745" max="14745" width="8" style="1" bestFit="1" customWidth="1"/>
    <col min="14746" max="14746" width="7.42578125" style="1" customWidth="1"/>
    <col min="14747" max="14747" width="9" style="1" bestFit="1" customWidth="1"/>
    <col min="14748" max="14764" width="9.28515625" style="1" customWidth="1"/>
    <col min="14765" max="14770" width="11.140625" style="1" customWidth="1"/>
    <col min="14771" max="14771" width="38.140625" style="1" customWidth="1"/>
    <col min="14772" max="14776" width="7.42578125" style="1" customWidth="1"/>
    <col min="14777" max="14783" width="8.85546875" style="1" customWidth="1"/>
    <col min="14784" max="14784" width="7.42578125" style="1" customWidth="1"/>
    <col min="14785" max="14789" width="8.28515625" style="1" bestFit="1" customWidth="1"/>
    <col min="14790" max="14790" width="8.7109375" style="1" customWidth="1"/>
    <col min="14791" max="14796" width="8.5703125" style="1" customWidth="1"/>
    <col min="14797" max="14799" width="9" style="1" customWidth="1"/>
    <col min="14800" max="14800" width="7.140625" style="1" bestFit="1" customWidth="1"/>
    <col min="14801" max="14803" width="11.42578125" style="1" customWidth="1"/>
    <col min="14804" max="14804" width="10" style="1" customWidth="1"/>
    <col min="14805" max="14805" width="37.28515625" style="1" customWidth="1"/>
    <col min="14806" max="14806" width="8.7109375" style="1" customWidth="1"/>
    <col min="14807" max="14810" width="12.5703125" style="1" customWidth="1"/>
    <col min="14811" max="14811" width="9.7109375" style="1" customWidth="1"/>
    <col min="14812" max="14812" width="9.28515625" style="1" customWidth="1"/>
    <col min="14813" max="14813" width="8.85546875" style="1" customWidth="1"/>
    <col min="14814" max="14814" width="8.140625" style="1" customWidth="1"/>
    <col min="14815" max="14815" width="8.42578125" style="1" customWidth="1"/>
    <col min="14816" max="14816" width="9" style="1" customWidth="1"/>
    <col min="14817" max="14817" width="8.28515625" style="1" customWidth="1"/>
    <col min="14818" max="14818" width="8.85546875" style="1" customWidth="1"/>
    <col min="14819" max="14819" width="8" style="1" customWidth="1"/>
    <col min="14820" max="14821" width="8.7109375" style="1" customWidth="1"/>
    <col min="14822" max="14822" width="8.42578125" style="1" customWidth="1"/>
    <col min="14823" max="14823" width="9.140625" style="1" customWidth="1"/>
    <col min="14824" max="14824" width="9.5703125" style="1" bestFit="1" customWidth="1"/>
    <col min="14825" max="14833" width="9.5703125" style="1" customWidth="1"/>
    <col min="14834" max="14991" width="12.5703125" style="1"/>
    <col min="14992" max="14992" width="43" style="1" customWidth="1"/>
    <col min="14993" max="14996" width="7.42578125" style="1" customWidth="1"/>
    <col min="14997" max="14997" width="7" style="1" customWidth="1"/>
    <col min="14998" max="15000" width="7.42578125" style="1" customWidth="1"/>
    <col min="15001" max="15001" width="8" style="1" bestFit="1" customWidth="1"/>
    <col min="15002" max="15002" width="7.42578125" style="1" customWidth="1"/>
    <col min="15003" max="15003" width="9" style="1" bestFit="1" customWidth="1"/>
    <col min="15004" max="15020" width="9.28515625" style="1" customWidth="1"/>
    <col min="15021" max="15026" width="11.140625" style="1" customWidth="1"/>
    <col min="15027" max="15027" width="38.140625" style="1" customWidth="1"/>
    <col min="15028" max="15032" width="7.42578125" style="1" customWidth="1"/>
    <col min="15033" max="15039" width="8.85546875" style="1" customWidth="1"/>
    <col min="15040" max="15040" width="7.42578125" style="1" customWidth="1"/>
    <col min="15041" max="15045" width="8.28515625" style="1" bestFit="1" customWidth="1"/>
    <col min="15046" max="15046" width="8.7109375" style="1" customWidth="1"/>
    <col min="15047" max="15052" width="8.5703125" style="1" customWidth="1"/>
    <col min="15053" max="15055" width="9" style="1" customWidth="1"/>
    <col min="15056" max="15056" width="7.140625" style="1" bestFit="1" customWidth="1"/>
    <col min="15057" max="15059" width="11.42578125" style="1" customWidth="1"/>
    <col min="15060" max="15060" width="10" style="1" customWidth="1"/>
    <col min="15061" max="15061" width="37.28515625" style="1" customWidth="1"/>
    <col min="15062" max="15062" width="8.7109375" style="1" customWidth="1"/>
    <col min="15063" max="15066" width="12.5703125" style="1" customWidth="1"/>
    <col min="15067" max="15067" width="9.7109375" style="1" customWidth="1"/>
    <col min="15068" max="15068" width="9.28515625" style="1" customWidth="1"/>
    <col min="15069" max="15069" width="8.85546875" style="1" customWidth="1"/>
    <col min="15070" max="15070" width="8.140625" style="1" customWidth="1"/>
    <col min="15071" max="15071" width="8.42578125" style="1" customWidth="1"/>
    <col min="15072" max="15072" width="9" style="1" customWidth="1"/>
    <col min="15073" max="15073" width="8.28515625" style="1" customWidth="1"/>
    <col min="15074" max="15074" width="8.85546875" style="1" customWidth="1"/>
    <col min="15075" max="15075" width="8" style="1" customWidth="1"/>
    <col min="15076" max="15077" width="8.7109375" style="1" customWidth="1"/>
    <col min="15078" max="15078" width="8.42578125" style="1" customWidth="1"/>
    <col min="15079" max="15079" width="9.140625" style="1" customWidth="1"/>
    <col min="15080" max="15080" width="9.5703125" style="1" bestFit="1" customWidth="1"/>
    <col min="15081" max="15089" width="9.5703125" style="1" customWidth="1"/>
    <col min="15090" max="15247" width="12.5703125" style="1"/>
    <col min="15248" max="15248" width="43" style="1" customWidth="1"/>
    <col min="15249" max="15252" width="7.42578125" style="1" customWidth="1"/>
    <col min="15253" max="15253" width="7" style="1" customWidth="1"/>
    <col min="15254" max="15256" width="7.42578125" style="1" customWidth="1"/>
    <col min="15257" max="15257" width="8" style="1" bestFit="1" customWidth="1"/>
    <col min="15258" max="15258" width="7.42578125" style="1" customWidth="1"/>
    <col min="15259" max="15259" width="9" style="1" bestFit="1" customWidth="1"/>
    <col min="15260" max="15276" width="9.28515625" style="1" customWidth="1"/>
    <col min="15277" max="15282" width="11.140625" style="1" customWidth="1"/>
    <col min="15283" max="15283" width="38.140625" style="1" customWidth="1"/>
    <col min="15284" max="15288" width="7.42578125" style="1" customWidth="1"/>
    <col min="15289" max="15295" width="8.85546875" style="1" customWidth="1"/>
    <col min="15296" max="15296" width="7.42578125" style="1" customWidth="1"/>
    <col min="15297" max="15301" width="8.28515625" style="1" bestFit="1" customWidth="1"/>
    <col min="15302" max="15302" width="8.7109375" style="1" customWidth="1"/>
    <col min="15303" max="15308" width="8.5703125" style="1" customWidth="1"/>
    <col min="15309" max="15311" width="9" style="1" customWidth="1"/>
    <col min="15312" max="15312" width="7.140625" style="1" bestFit="1" customWidth="1"/>
    <col min="15313" max="15315" width="11.42578125" style="1" customWidth="1"/>
    <col min="15316" max="15316" width="10" style="1" customWidth="1"/>
    <col min="15317" max="15317" width="37.28515625" style="1" customWidth="1"/>
    <col min="15318" max="15318" width="8.7109375" style="1" customWidth="1"/>
    <col min="15319" max="15322" width="12.5703125" style="1" customWidth="1"/>
    <col min="15323" max="15323" width="9.7109375" style="1" customWidth="1"/>
    <col min="15324" max="15324" width="9.28515625" style="1" customWidth="1"/>
    <col min="15325" max="15325" width="8.85546875" style="1" customWidth="1"/>
    <col min="15326" max="15326" width="8.140625" style="1" customWidth="1"/>
    <col min="15327" max="15327" width="8.42578125" style="1" customWidth="1"/>
    <col min="15328" max="15328" width="9" style="1" customWidth="1"/>
    <col min="15329" max="15329" width="8.28515625" style="1" customWidth="1"/>
    <col min="15330" max="15330" width="8.85546875" style="1" customWidth="1"/>
    <col min="15331" max="15331" width="8" style="1" customWidth="1"/>
    <col min="15332" max="15333" width="8.7109375" style="1" customWidth="1"/>
    <col min="15334" max="15334" width="8.42578125" style="1" customWidth="1"/>
    <col min="15335" max="15335" width="9.140625" style="1" customWidth="1"/>
    <col min="15336" max="15336" width="9.5703125" style="1" bestFit="1" customWidth="1"/>
    <col min="15337" max="15345" width="9.5703125" style="1" customWidth="1"/>
    <col min="15346" max="15503" width="12.5703125" style="1"/>
    <col min="15504" max="15504" width="43" style="1" customWidth="1"/>
    <col min="15505" max="15508" width="7.42578125" style="1" customWidth="1"/>
    <col min="15509" max="15509" width="7" style="1" customWidth="1"/>
    <col min="15510" max="15512" width="7.42578125" style="1" customWidth="1"/>
    <col min="15513" max="15513" width="8" style="1" bestFit="1" customWidth="1"/>
    <col min="15514" max="15514" width="7.42578125" style="1" customWidth="1"/>
    <col min="15515" max="15515" width="9" style="1" bestFit="1" customWidth="1"/>
    <col min="15516" max="15532" width="9.28515625" style="1" customWidth="1"/>
    <col min="15533" max="15538" width="11.140625" style="1" customWidth="1"/>
    <col min="15539" max="15539" width="38.140625" style="1" customWidth="1"/>
    <col min="15540" max="15544" width="7.42578125" style="1" customWidth="1"/>
    <col min="15545" max="15551" width="8.85546875" style="1" customWidth="1"/>
    <col min="15552" max="15552" width="7.42578125" style="1" customWidth="1"/>
    <col min="15553" max="15557" width="8.28515625" style="1" bestFit="1" customWidth="1"/>
    <col min="15558" max="15558" width="8.7109375" style="1" customWidth="1"/>
    <col min="15559" max="15564" width="8.5703125" style="1" customWidth="1"/>
    <col min="15565" max="15567" width="9" style="1" customWidth="1"/>
    <col min="15568" max="15568" width="7.140625" style="1" bestFit="1" customWidth="1"/>
    <col min="15569" max="15571" width="11.42578125" style="1" customWidth="1"/>
    <col min="15572" max="15572" width="10" style="1" customWidth="1"/>
    <col min="15573" max="15573" width="37.28515625" style="1" customWidth="1"/>
    <col min="15574" max="15574" width="8.7109375" style="1" customWidth="1"/>
    <col min="15575" max="15578" width="12.5703125" style="1" customWidth="1"/>
    <col min="15579" max="15579" width="9.7109375" style="1" customWidth="1"/>
    <col min="15580" max="15580" width="9.28515625" style="1" customWidth="1"/>
    <col min="15581" max="15581" width="8.85546875" style="1" customWidth="1"/>
    <col min="15582" max="15582" width="8.140625" style="1" customWidth="1"/>
    <col min="15583" max="15583" width="8.42578125" style="1" customWidth="1"/>
    <col min="15584" max="15584" width="9" style="1" customWidth="1"/>
    <col min="15585" max="15585" width="8.28515625" style="1" customWidth="1"/>
    <col min="15586" max="15586" width="8.85546875" style="1" customWidth="1"/>
    <col min="15587" max="15587" width="8" style="1" customWidth="1"/>
    <col min="15588" max="15589" width="8.7109375" style="1" customWidth="1"/>
    <col min="15590" max="15590" width="8.42578125" style="1" customWidth="1"/>
    <col min="15591" max="15591" width="9.140625" style="1" customWidth="1"/>
    <col min="15592" max="15592" width="9.5703125" style="1" bestFit="1" customWidth="1"/>
    <col min="15593" max="15601" width="9.5703125" style="1" customWidth="1"/>
    <col min="15602" max="15759" width="12.5703125" style="1"/>
    <col min="15760" max="15760" width="43" style="1" customWidth="1"/>
    <col min="15761" max="15764" width="7.42578125" style="1" customWidth="1"/>
    <col min="15765" max="15765" width="7" style="1" customWidth="1"/>
    <col min="15766" max="15768" width="7.42578125" style="1" customWidth="1"/>
    <col min="15769" max="15769" width="8" style="1" bestFit="1" customWidth="1"/>
    <col min="15770" max="15770" width="7.42578125" style="1" customWidth="1"/>
    <col min="15771" max="15771" width="9" style="1" bestFit="1" customWidth="1"/>
    <col min="15772" max="15788" width="9.28515625" style="1" customWidth="1"/>
    <col min="15789" max="15794" width="11.140625" style="1" customWidth="1"/>
    <col min="15795" max="15795" width="38.140625" style="1" customWidth="1"/>
    <col min="15796" max="15800" width="7.42578125" style="1" customWidth="1"/>
    <col min="15801" max="15807" width="8.85546875" style="1" customWidth="1"/>
    <col min="15808" max="15808" width="7.42578125" style="1" customWidth="1"/>
    <col min="15809" max="15813" width="8.28515625" style="1" bestFit="1" customWidth="1"/>
    <col min="15814" max="15814" width="8.7109375" style="1" customWidth="1"/>
    <col min="15815" max="15820" width="8.5703125" style="1" customWidth="1"/>
    <col min="15821" max="15823" width="9" style="1" customWidth="1"/>
    <col min="15824" max="15824" width="7.140625" style="1" bestFit="1" customWidth="1"/>
    <col min="15825" max="15827" width="11.42578125" style="1" customWidth="1"/>
    <col min="15828" max="15828" width="10" style="1" customWidth="1"/>
    <col min="15829" max="15829" width="37.28515625" style="1" customWidth="1"/>
    <col min="15830" max="15830" width="8.7109375" style="1" customWidth="1"/>
    <col min="15831" max="15834" width="12.5703125" style="1" customWidth="1"/>
    <col min="15835" max="15835" width="9.7109375" style="1" customWidth="1"/>
    <col min="15836" max="15836" width="9.28515625" style="1" customWidth="1"/>
    <col min="15837" max="15837" width="8.85546875" style="1" customWidth="1"/>
    <col min="15838" max="15838" width="8.140625" style="1" customWidth="1"/>
    <col min="15839" max="15839" width="8.42578125" style="1" customWidth="1"/>
    <col min="15840" max="15840" width="9" style="1" customWidth="1"/>
    <col min="15841" max="15841" width="8.28515625" style="1" customWidth="1"/>
    <col min="15842" max="15842" width="8.85546875" style="1" customWidth="1"/>
    <col min="15843" max="15843" width="8" style="1" customWidth="1"/>
    <col min="15844" max="15845" width="8.7109375" style="1" customWidth="1"/>
    <col min="15846" max="15846" width="8.42578125" style="1" customWidth="1"/>
    <col min="15847" max="15847" width="9.140625" style="1" customWidth="1"/>
    <col min="15848" max="15848" width="9.5703125" style="1" bestFit="1" customWidth="1"/>
    <col min="15849" max="15857" width="9.5703125" style="1" customWidth="1"/>
    <col min="15858" max="16015" width="12.5703125" style="1"/>
    <col min="16016" max="16016" width="43" style="1" customWidth="1"/>
    <col min="16017" max="16020" width="7.42578125" style="1" customWidth="1"/>
    <col min="16021" max="16021" width="7" style="1" customWidth="1"/>
    <col min="16022" max="16024" width="7.42578125" style="1" customWidth="1"/>
    <col min="16025" max="16025" width="8" style="1" bestFit="1" customWidth="1"/>
    <col min="16026" max="16026" width="7.42578125" style="1" customWidth="1"/>
    <col min="16027" max="16027" width="9" style="1" bestFit="1" customWidth="1"/>
    <col min="16028" max="16044" width="9.28515625" style="1" customWidth="1"/>
    <col min="16045" max="16050" width="11.140625" style="1" customWidth="1"/>
    <col min="16051" max="16051" width="38.140625" style="1" customWidth="1"/>
    <col min="16052" max="16056" width="7.42578125" style="1" customWidth="1"/>
    <col min="16057" max="16063" width="8.85546875" style="1" customWidth="1"/>
    <col min="16064" max="16064" width="7.42578125" style="1" customWidth="1"/>
    <col min="16065" max="16069" width="8.28515625" style="1" bestFit="1" customWidth="1"/>
    <col min="16070" max="16070" width="8.7109375" style="1" customWidth="1"/>
    <col min="16071" max="16076" width="8.5703125" style="1" customWidth="1"/>
    <col min="16077" max="16079" width="9" style="1" customWidth="1"/>
    <col min="16080" max="16080" width="7.140625" style="1" bestFit="1" customWidth="1"/>
    <col min="16081" max="16083" width="11.42578125" style="1" customWidth="1"/>
    <col min="16084" max="16084" width="10" style="1" customWidth="1"/>
    <col min="16085" max="16085" width="37.28515625" style="1" customWidth="1"/>
    <col min="16086" max="16086" width="8.7109375" style="1" customWidth="1"/>
    <col min="16087" max="16090" width="12.5703125" style="1" customWidth="1"/>
    <col min="16091" max="16091" width="9.7109375" style="1" customWidth="1"/>
    <col min="16092" max="16092" width="9.28515625" style="1" customWidth="1"/>
    <col min="16093" max="16093" width="8.85546875" style="1" customWidth="1"/>
    <col min="16094" max="16094" width="8.140625" style="1" customWidth="1"/>
    <col min="16095" max="16095" width="8.42578125" style="1" customWidth="1"/>
    <col min="16096" max="16096" width="9" style="1" customWidth="1"/>
    <col min="16097" max="16097" width="8.28515625" style="1" customWidth="1"/>
    <col min="16098" max="16098" width="8.85546875" style="1" customWidth="1"/>
    <col min="16099" max="16099" width="8" style="1" customWidth="1"/>
    <col min="16100" max="16101" width="8.7109375" style="1" customWidth="1"/>
    <col min="16102" max="16102" width="8.42578125" style="1" customWidth="1"/>
    <col min="16103" max="16103" width="9.140625" style="1" customWidth="1"/>
    <col min="16104" max="16104" width="9.5703125" style="1" bestFit="1" customWidth="1"/>
    <col min="16105" max="16113" width="9.5703125" style="1" customWidth="1"/>
    <col min="16114" max="16384" width="12.5703125" style="1"/>
  </cols>
  <sheetData>
    <row r="1" spans="1:13" hidden="1">
      <c r="A1" s="1" t="s">
        <v>0</v>
      </c>
      <c r="B1" s="2">
        <v>3.0345460590706235E-2</v>
      </c>
      <c r="C1" s="2">
        <v>2.6793688597796968E-2</v>
      </c>
      <c r="D1" s="2">
        <v>2.4276209314871428E-2</v>
      </c>
      <c r="E1" s="2">
        <v>2.3015940670019608E-2</v>
      </c>
      <c r="F1" s="2">
        <v>2.1575835064727506E-2</v>
      </c>
      <c r="G1" s="2">
        <v>2.1034590215020254E-2</v>
      </c>
      <c r="H1" s="2">
        <v>2.0814061054579096E-2</v>
      </c>
      <c r="I1" s="2">
        <v>2.0116227089852484E-2</v>
      </c>
      <c r="J1" s="2">
        <v>1.8845536399804564E-2</v>
      </c>
      <c r="K1" s="2">
        <v>1.7903896239136748E-2</v>
      </c>
      <c r="L1" s="2">
        <v>1.759526014103361E-2</v>
      </c>
      <c r="M1" s="2">
        <v>1.7513797521040882E-2</v>
      </c>
    </row>
    <row r="4" spans="1:13">
      <c r="A4" s="3" t="s">
        <v>1</v>
      </c>
    </row>
    <row r="5" spans="1:13">
      <c r="A5" s="3" t="s">
        <v>2</v>
      </c>
    </row>
    <row r="6" spans="1:13" ht="15">
      <c r="A6" s="3"/>
      <c r="B6" s="4"/>
      <c r="C6" s="4"/>
    </row>
    <row r="7" spans="1:13">
      <c r="A7" s="5" t="s">
        <v>3</v>
      </c>
      <c r="B7" s="6"/>
      <c r="C7" s="6"/>
    </row>
    <row r="8" spans="1:13" ht="23.25" customHeight="1" thickBot="1">
      <c r="A8" s="7" t="s">
        <v>4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15</v>
      </c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10" t="s">
        <v>16</v>
      </c>
      <c r="B10" s="11">
        <f t="shared" ref="B10:M10" si="0">SUM(B11,B45,B47)</f>
        <v>10459.120745187105</v>
      </c>
      <c r="C10" s="11">
        <f t="shared" si="0"/>
        <v>10636.54376570408</v>
      </c>
      <c r="D10" s="11">
        <f t="shared" si="0"/>
        <v>9994.9069550440581</v>
      </c>
      <c r="E10" s="11">
        <f t="shared" si="0"/>
        <v>10491.489730372519</v>
      </c>
      <c r="F10" s="11">
        <f t="shared" si="0"/>
        <v>10785.324119146555</v>
      </c>
      <c r="G10" s="11">
        <f t="shared" si="0"/>
        <v>11795.640355250855</v>
      </c>
      <c r="H10" s="11">
        <f t="shared" si="0"/>
        <v>13091.734273820535</v>
      </c>
      <c r="I10" s="11">
        <f t="shared" si="0"/>
        <v>13070.70402324542</v>
      </c>
      <c r="J10" s="11">
        <f t="shared" si="0"/>
        <v>10843.741432260766</v>
      </c>
      <c r="K10" s="11">
        <f t="shared" si="0"/>
        <v>12835.389152539083</v>
      </c>
      <c r="L10" s="11">
        <f t="shared" si="0"/>
        <v>14564.918296560956</v>
      </c>
      <c r="M10" s="11">
        <f t="shared" si="0"/>
        <v>16205.219819776272</v>
      </c>
    </row>
    <row r="11" spans="1:13">
      <c r="A11" s="12" t="s">
        <v>17</v>
      </c>
      <c r="B11" s="11">
        <f t="shared" ref="B11:M11" si="1">SUM(B12,B42,B43)</f>
        <v>10308.722573407447</v>
      </c>
      <c r="C11" s="11">
        <f t="shared" si="1"/>
        <v>10339.484819589165</v>
      </c>
      <c r="D11" s="11">
        <f t="shared" si="1"/>
        <v>9836.4585644668241</v>
      </c>
      <c r="E11" s="11">
        <f t="shared" si="1"/>
        <v>10350.721935640613</v>
      </c>
      <c r="F11" s="11">
        <f t="shared" si="1"/>
        <v>10658.859519498161</v>
      </c>
      <c r="G11" s="11">
        <f t="shared" si="1"/>
        <v>11574.745606107819</v>
      </c>
      <c r="H11" s="11">
        <f t="shared" si="1"/>
        <v>12819.513413506013</v>
      </c>
      <c r="I11" s="11">
        <f t="shared" si="1"/>
        <v>12952.883281180155</v>
      </c>
      <c r="J11" s="11">
        <f t="shared" si="1"/>
        <v>10701.800621204718</v>
      </c>
      <c r="K11" s="11">
        <f t="shared" si="1"/>
        <v>12682.008263848022</v>
      </c>
      <c r="L11" s="11">
        <f t="shared" si="1"/>
        <v>14453.354135779926</v>
      </c>
      <c r="M11" s="11">
        <f t="shared" si="1"/>
        <v>16062.782344709256</v>
      </c>
    </row>
    <row r="12" spans="1:13">
      <c r="A12" s="13" t="s">
        <v>18</v>
      </c>
      <c r="B12" s="14">
        <f t="shared" ref="B12:M12" si="2">B96*B$1</f>
        <v>9703.412567366453</v>
      </c>
      <c r="C12" s="14">
        <f t="shared" si="2"/>
        <v>9212.633375707057</v>
      </c>
      <c r="D12" s="14">
        <f t="shared" si="2"/>
        <v>9003.5054061319915</v>
      </c>
      <c r="E12" s="14">
        <f t="shared" si="2"/>
        <v>9479.209532605917</v>
      </c>
      <c r="F12" s="14">
        <f t="shared" si="2"/>
        <v>9888.7100868627131</v>
      </c>
      <c r="G12" s="14">
        <f t="shared" si="2"/>
        <v>10451.973870364596</v>
      </c>
      <c r="H12" s="14">
        <f t="shared" si="2"/>
        <v>11300.357539315448</v>
      </c>
      <c r="I12" s="14">
        <f t="shared" si="2"/>
        <v>11655.282029503802</v>
      </c>
      <c r="J12" s="14">
        <f t="shared" si="2"/>
        <v>9529.9361694702311</v>
      </c>
      <c r="K12" s="14">
        <f t="shared" si="2"/>
        <v>10975.951362389553</v>
      </c>
      <c r="L12" s="14">
        <f t="shared" si="2"/>
        <v>13246.434725033001</v>
      </c>
      <c r="M12" s="14">
        <f t="shared" si="2"/>
        <v>14564.017190915598</v>
      </c>
    </row>
    <row r="13" spans="1:13">
      <c r="A13" s="15" t="s">
        <v>19</v>
      </c>
      <c r="B13" s="18">
        <f t="shared" ref="B13:M13" si="3">B97*B$1</f>
        <v>3516.3421537222357</v>
      </c>
      <c r="C13" s="18">
        <f t="shared" si="3"/>
        <v>3018.2519526644842</v>
      </c>
      <c r="D13" s="18">
        <f t="shared" si="3"/>
        <v>2933.8794305880242</v>
      </c>
      <c r="E13" s="18">
        <f t="shared" si="3"/>
        <v>3009.5598011252241</v>
      </c>
      <c r="F13" s="18">
        <f t="shared" si="3"/>
        <v>2934.8434734697134</v>
      </c>
      <c r="G13" s="18">
        <f t="shared" si="3"/>
        <v>2757.8735197880951</v>
      </c>
      <c r="H13" s="18">
        <f t="shared" si="3"/>
        <v>2987.215309898243</v>
      </c>
      <c r="I13" s="18">
        <f t="shared" si="3"/>
        <v>3213.0856951274031</v>
      </c>
      <c r="J13" s="18">
        <f t="shared" si="3"/>
        <v>3042.2230683325188</v>
      </c>
      <c r="K13" s="18">
        <f t="shared" si="3"/>
        <v>3202.8638060116509</v>
      </c>
      <c r="L13" s="18">
        <f t="shared" si="3"/>
        <v>4149.1814799996955</v>
      </c>
      <c r="M13" s="18">
        <f t="shared" si="3"/>
        <v>4801.2686306521728</v>
      </c>
    </row>
    <row r="14" spans="1:13">
      <c r="A14" s="19" t="s">
        <v>20</v>
      </c>
      <c r="B14" s="18">
        <f t="shared" ref="B14:M14" si="4">B98*B$1</f>
        <v>3.0345460590706237E-6</v>
      </c>
      <c r="C14" s="18">
        <f t="shared" si="4"/>
        <v>2.6793688597796967E-6</v>
      </c>
      <c r="D14" s="18">
        <f t="shared" si="4"/>
        <v>2.4276209314871427E-6</v>
      </c>
      <c r="E14" s="18">
        <f t="shared" si="4"/>
        <v>2.3015940670019608E-6</v>
      </c>
      <c r="F14" s="18">
        <f t="shared" si="4"/>
        <v>2.1575835064727507E-6</v>
      </c>
      <c r="G14" s="18">
        <f t="shared" si="4"/>
        <v>0</v>
      </c>
      <c r="H14" s="18">
        <f t="shared" si="4"/>
        <v>0</v>
      </c>
      <c r="I14" s="18">
        <f t="shared" si="4"/>
        <v>0</v>
      </c>
      <c r="J14" s="18">
        <f t="shared" si="4"/>
        <v>0</v>
      </c>
      <c r="K14" s="18">
        <f t="shared" si="4"/>
        <v>0</v>
      </c>
      <c r="L14" s="18">
        <f t="shared" si="4"/>
        <v>0</v>
      </c>
      <c r="M14" s="18">
        <f t="shared" si="4"/>
        <v>0</v>
      </c>
    </row>
    <row r="15" spans="1:13">
      <c r="A15" s="19" t="s">
        <v>21</v>
      </c>
      <c r="B15" s="18">
        <f t="shared" ref="B15:M15" si="5">B99*B$1</f>
        <v>1086.3098327721609</v>
      </c>
      <c r="C15" s="18">
        <f t="shared" si="5"/>
        <v>941.92676391783289</v>
      </c>
      <c r="D15" s="18">
        <f t="shared" si="5"/>
        <v>871.58388778996596</v>
      </c>
      <c r="E15" s="18">
        <f t="shared" si="5"/>
        <v>973.16230500383608</v>
      </c>
      <c r="F15" s="18">
        <f t="shared" si="5"/>
        <v>1117.4383890043152</v>
      </c>
      <c r="G15" s="18">
        <f t="shared" si="5"/>
        <v>1293.7850576503583</v>
      </c>
      <c r="H15" s="18">
        <f t="shared" si="5"/>
        <v>1276.3827474560594</v>
      </c>
      <c r="I15" s="18">
        <f t="shared" si="5"/>
        <v>1373.5929146177918</v>
      </c>
      <c r="J15" s="18">
        <f t="shared" si="5"/>
        <v>1244.7331681440635</v>
      </c>
      <c r="K15" s="18">
        <f t="shared" si="5"/>
        <v>1327.5219848328964</v>
      </c>
      <c r="L15" s="18">
        <f t="shared" si="5"/>
        <v>1626.5852603564711</v>
      </c>
      <c r="M15" s="18">
        <f t="shared" si="5"/>
        <v>1631.424330213571</v>
      </c>
    </row>
    <row r="16" spans="1:13">
      <c r="A16" s="19" t="s">
        <v>22</v>
      </c>
      <c r="B16" s="18">
        <f t="shared" ref="B16:M16" si="6">B100*B$1</f>
        <v>1847.3163280119509</v>
      </c>
      <c r="C16" s="18">
        <f t="shared" si="6"/>
        <v>1682.9330157785059</v>
      </c>
      <c r="D16" s="18">
        <f t="shared" si="6"/>
        <v>1646.3688185578135</v>
      </c>
      <c r="E16" s="18">
        <f t="shared" si="6"/>
        <v>1656.3720910408322</v>
      </c>
      <c r="F16" s="18">
        <f t="shared" si="6"/>
        <v>1401.4583666293752</v>
      </c>
      <c r="G16" s="18">
        <f t="shared" si="6"/>
        <v>1128.7623870364598</v>
      </c>
      <c r="H16" s="18">
        <f t="shared" si="6"/>
        <v>1207.9919056429235</v>
      </c>
      <c r="I16" s="18">
        <f t="shared" si="6"/>
        <v>1341.1514751899867</v>
      </c>
      <c r="J16" s="18">
        <f t="shared" si="6"/>
        <v>1280.6831018356947</v>
      </c>
      <c r="K16" s="18">
        <f t="shared" si="6"/>
        <v>1349.4811135701977</v>
      </c>
      <c r="L16" s="18">
        <f t="shared" si="6"/>
        <v>1890.718968794276</v>
      </c>
      <c r="M16" s="18">
        <f t="shared" si="6"/>
        <v>2357.7060333332975</v>
      </c>
    </row>
    <row r="17" spans="1:13">
      <c r="A17" s="19" t="s">
        <v>23</v>
      </c>
      <c r="B17" s="18">
        <f t="shared" ref="B17:M17" si="7">B101*B$1</f>
        <v>50.500915515053315</v>
      </c>
      <c r="C17" s="18">
        <f t="shared" si="7"/>
        <v>45.214349508782384</v>
      </c>
      <c r="D17" s="18">
        <f t="shared" si="7"/>
        <v>37.324671821614821</v>
      </c>
      <c r="E17" s="18">
        <f t="shared" si="7"/>
        <v>23.351973403801896</v>
      </c>
      <c r="F17" s="18">
        <f t="shared" si="7"/>
        <v>33.673405785520217</v>
      </c>
      <c r="G17" s="18">
        <f t="shared" si="7"/>
        <v>40.222343409161731</v>
      </c>
      <c r="H17" s="18">
        <f t="shared" si="7"/>
        <v>45.909574468085111</v>
      </c>
      <c r="I17" s="18">
        <f t="shared" si="7"/>
        <v>45.249441215914182</v>
      </c>
      <c r="J17" s="18">
        <f t="shared" si="7"/>
        <v>54.297759475116905</v>
      </c>
      <c r="K17" s="18">
        <f t="shared" si="7"/>
        <v>46.483885805670738</v>
      </c>
      <c r="L17" s="18">
        <f t="shared" si="7"/>
        <v>52.812502027962339</v>
      </c>
      <c r="M17" s="18">
        <f t="shared" si="7"/>
        <v>55.732845629929137</v>
      </c>
    </row>
    <row r="18" spans="1:13">
      <c r="A18" s="19" t="s">
        <v>24</v>
      </c>
      <c r="B18" s="18">
        <f t="shared" ref="B18:M18" si="8">B102*B$1</f>
        <v>122.06158068005676</v>
      </c>
      <c r="C18" s="18">
        <f t="shared" si="8"/>
        <v>111.52069068175054</v>
      </c>
      <c r="D18" s="18">
        <f t="shared" si="8"/>
        <v>103.06464664628665</v>
      </c>
      <c r="E18" s="18">
        <f t="shared" si="8"/>
        <v>104.70181570198621</v>
      </c>
      <c r="F18" s="18">
        <f t="shared" si="8"/>
        <v>111.95269298385809</v>
      </c>
      <c r="G18" s="18">
        <f t="shared" si="8"/>
        <v>111.56746650046743</v>
      </c>
      <c r="H18" s="18">
        <f t="shared" si="8"/>
        <v>107.50254394079556</v>
      </c>
      <c r="I18" s="18">
        <f t="shared" si="8"/>
        <v>117.23535985695128</v>
      </c>
      <c r="J18" s="18">
        <f t="shared" si="8"/>
        <v>95.806937949326439</v>
      </c>
      <c r="K18" s="18">
        <f t="shared" si="8"/>
        <v>109.78132056951479</v>
      </c>
      <c r="L18" s="18">
        <f t="shared" si="8"/>
        <v>127.826862955289</v>
      </c>
      <c r="M18" s="18">
        <f t="shared" si="8"/>
        <v>138.8168844487208</v>
      </c>
    </row>
    <row r="19" spans="1:13">
      <c r="A19" s="19" t="s">
        <v>25</v>
      </c>
      <c r="B19" s="18">
        <f t="shared" ref="B19:M19" si="9">B103*B$1</f>
        <v>410.15531443610365</v>
      </c>
      <c r="C19" s="18">
        <f t="shared" si="9"/>
        <v>236.65525454004171</v>
      </c>
      <c r="D19" s="18">
        <f t="shared" si="9"/>
        <v>275.53740334472218</v>
      </c>
      <c r="E19" s="18">
        <f t="shared" si="9"/>
        <v>251.97161367317366</v>
      </c>
      <c r="F19" s="18">
        <f t="shared" si="9"/>
        <v>270.31932235895795</v>
      </c>
      <c r="G19" s="18">
        <f t="shared" si="9"/>
        <v>183.5352134621377</v>
      </c>
      <c r="H19" s="18">
        <f t="shared" si="9"/>
        <v>349.4264569842739</v>
      </c>
      <c r="I19" s="18">
        <f t="shared" si="9"/>
        <v>335.85650424675907</v>
      </c>
      <c r="J19" s="18">
        <f t="shared" si="9"/>
        <v>366.70210092831712</v>
      </c>
      <c r="K19" s="18">
        <f t="shared" si="9"/>
        <v>369.59550123337164</v>
      </c>
      <c r="L19" s="18">
        <f t="shared" si="9"/>
        <v>451.23788586569702</v>
      </c>
      <c r="M19" s="18">
        <f t="shared" si="9"/>
        <v>617.58853702665442</v>
      </c>
    </row>
    <row r="20" spans="1:13">
      <c r="A20" s="15" t="s">
        <v>26</v>
      </c>
      <c r="B20" s="18">
        <f t="shared" ref="B20:D21" si="10">B104*B$1</f>
        <v>64.396101919537699</v>
      </c>
      <c r="C20" s="18">
        <f t="shared" si="10"/>
        <v>55.843405775528439</v>
      </c>
      <c r="D20" s="18">
        <f t="shared" si="10"/>
        <v>57.401096925013491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>
      <c r="A21" s="15" t="s">
        <v>27</v>
      </c>
      <c r="B21" s="18">
        <f t="shared" si="10"/>
        <v>2927.1213078518881</v>
      </c>
      <c r="C21" s="18">
        <f t="shared" si="10"/>
        <v>3086.9565942244726</v>
      </c>
      <c r="D21" s="18">
        <f t="shared" si="10"/>
        <v>2923.3751123898583</v>
      </c>
      <c r="E21" s="18">
        <f t="shared" ref="E21:M21" si="11">E105*E$1</f>
        <v>3079.3602420935986</v>
      </c>
      <c r="F21" s="18">
        <f t="shared" si="11"/>
        <v>3199.9971072398916</v>
      </c>
      <c r="G21" s="18">
        <f t="shared" si="11"/>
        <v>3699.8842941726389</v>
      </c>
      <c r="H21" s="18">
        <f t="shared" si="11"/>
        <v>3984.9081868640151</v>
      </c>
      <c r="I21" s="18">
        <f t="shared" si="11"/>
        <v>4050.2627179257938</v>
      </c>
      <c r="J21" s="18">
        <f t="shared" si="11"/>
        <v>3254.170712640469</v>
      </c>
      <c r="K21" s="18">
        <f t="shared" si="11"/>
        <v>3525.7372996193717</v>
      </c>
      <c r="L21" s="18">
        <f t="shared" si="11"/>
        <v>4094.4514854730705</v>
      </c>
      <c r="M21" s="18">
        <f t="shared" si="11"/>
        <v>4605.7203583000828</v>
      </c>
    </row>
    <row r="22" spans="1:13">
      <c r="A22" s="19" t="s">
        <v>28</v>
      </c>
      <c r="B22" s="17"/>
      <c r="C22" s="17"/>
      <c r="D22" s="18">
        <f>D106*D$1</f>
        <v>16.116975364143141</v>
      </c>
      <c r="E22" s="18">
        <f t="shared" ref="E22:M22" si="12">E106*E$1</f>
        <v>12.911942715881001</v>
      </c>
      <c r="F22" s="18">
        <f t="shared" si="12"/>
        <v>16.65222950295669</v>
      </c>
      <c r="G22" s="18">
        <f t="shared" si="12"/>
        <v>20.466656279214707</v>
      </c>
      <c r="H22" s="18">
        <f t="shared" si="12"/>
        <v>22.502081406105461</v>
      </c>
      <c r="I22" s="18">
        <f t="shared" si="12"/>
        <v>5.8357174787662061</v>
      </c>
      <c r="J22" s="18">
        <f t="shared" si="12"/>
        <v>2.4178823200949258</v>
      </c>
      <c r="K22" s="18">
        <f t="shared" si="12"/>
        <v>2.6300823575291883</v>
      </c>
      <c r="L22" s="18">
        <f t="shared" si="12"/>
        <v>2.1530861126150951</v>
      </c>
      <c r="M22" s="18">
        <f t="shared" si="12"/>
        <v>1.8658668685438142</v>
      </c>
    </row>
    <row r="23" spans="1:13">
      <c r="A23" s="19" t="s">
        <v>29</v>
      </c>
      <c r="B23" s="18">
        <f>B107*B$1</f>
        <v>378.02554076266387</v>
      </c>
      <c r="C23" s="18">
        <f>C107*C$1</f>
        <v>329.92676391783277</v>
      </c>
      <c r="D23" s="18">
        <f>D107*D$1</f>
        <v>244.51240784031651</v>
      </c>
      <c r="E23" s="18">
        <f t="shared" ref="E23:M23" si="13">E107*E$1</f>
        <v>322.8722189071691</v>
      </c>
      <c r="F23" s="18">
        <f t="shared" si="13"/>
        <v>393.34473389803418</v>
      </c>
      <c r="G23" s="18">
        <f t="shared" si="13"/>
        <v>586.62737612963542</v>
      </c>
      <c r="H23" s="18">
        <f t="shared" si="13"/>
        <v>539.18408880666061</v>
      </c>
      <c r="I23" s="18">
        <f t="shared" si="13"/>
        <v>610.32029503799743</v>
      </c>
      <c r="J23" s="18">
        <f t="shared" si="13"/>
        <v>503.67899769665667</v>
      </c>
      <c r="K23" s="18">
        <f t="shared" si="13"/>
        <v>455.27459668576051</v>
      </c>
      <c r="L23" s="18">
        <f t="shared" si="13"/>
        <v>460.40015247156163</v>
      </c>
      <c r="M23" s="18">
        <f t="shared" si="13"/>
        <v>428.41411944063958</v>
      </c>
    </row>
    <row r="24" spans="1:13" s="20" customFormat="1">
      <c r="A24" s="19" t="s">
        <v>26</v>
      </c>
      <c r="B24" s="17"/>
      <c r="C24" s="17"/>
      <c r="D24" s="17"/>
      <c r="E24" s="18">
        <f t="shared" ref="E24:M24" si="14">E108*E$1</f>
        <v>5.4110476515216099</v>
      </c>
      <c r="F24" s="18">
        <f t="shared" si="14"/>
        <v>8.1319322358957962</v>
      </c>
      <c r="G24" s="18">
        <f t="shared" si="14"/>
        <v>10.54043315674665</v>
      </c>
      <c r="H24" s="18">
        <f t="shared" si="14"/>
        <v>11.185476410730805</v>
      </c>
      <c r="I24" s="18">
        <f t="shared" si="14"/>
        <v>12.39159588734913</v>
      </c>
      <c r="J24" s="18">
        <f t="shared" si="14"/>
        <v>11.296014518042854</v>
      </c>
      <c r="K24" s="18">
        <f t="shared" si="14"/>
        <v>11.111158006008266</v>
      </c>
      <c r="L24" s="18">
        <f t="shared" si="14"/>
        <v>12.326593280022589</v>
      </c>
      <c r="M24" s="18">
        <f t="shared" si="14"/>
        <v>14.528033970713039</v>
      </c>
    </row>
    <row r="25" spans="1:13">
      <c r="A25" s="19" t="s">
        <v>30</v>
      </c>
      <c r="B25" s="18">
        <f t="shared" ref="B25:D26" si="15">B109*B$1</f>
        <v>66.280555022220554</v>
      </c>
      <c r="C25" s="18">
        <f t="shared" si="15"/>
        <v>69.545698124441813</v>
      </c>
      <c r="D25" s="18">
        <f t="shared" si="15"/>
        <v>64.657255889228566</v>
      </c>
      <c r="E25" s="18">
        <f t="shared" ref="E25:M25" si="16">E109*E$1</f>
        <v>67.821072372346777</v>
      </c>
      <c r="F25" s="18">
        <f t="shared" si="16"/>
        <v>69.021096372063298</v>
      </c>
      <c r="G25" s="18">
        <f t="shared" si="16"/>
        <v>83.379012153318783</v>
      </c>
      <c r="H25" s="18">
        <f t="shared" si="16"/>
        <v>95.209759481961171</v>
      </c>
      <c r="I25" s="18">
        <f t="shared" si="16"/>
        <v>95.473625391148886</v>
      </c>
      <c r="J25" s="18">
        <f t="shared" si="16"/>
        <v>85.70949954631115</v>
      </c>
      <c r="K25" s="18">
        <f t="shared" si="16"/>
        <v>88.848085086716111</v>
      </c>
      <c r="L25" s="18">
        <f t="shared" si="16"/>
        <v>92.790668963970433</v>
      </c>
      <c r="M25" s="18">
        <f t="shared" si="16"/>
        <v>91.436532540527679</v>
      </c>
    </row>
    <row r="26" spans="1:13">
      <c r="A26" s="19" t="s">
        <v>31</v>
      </c>
      <c r="B26" s="18">
        <f t="shared" si="15"/>
        <v>10.405458436553168</v>
      </c>
      <c r="C26" s="18">
        <f t="shared" si="15"/>
        <v>9.6591247395058062</v>
      </c>
      <c r="D26" s="18">
        <f t="shared" si="15"/>
        <v>9.4288796978960612</v>
      </c>
      <c r="E26" s="18">
        <f t="shared" ref="E26:M26" si="17">E110*E$1</f>
        <v>10.246696786292729</v>
      </c>
      <c r="F26" s="18">
        <f t="shared" si="17"/>
        <v>10.807335783922007</v>
      </c>
      <c r="G26" s="18">
        <f t="shared" si="17"/>
        <v>22.153630414459332</v>
      </c>
      <c r="H26" s="18">
        <f t="shared" si="17"/>
        <v>34.697039777983356</v>
      </c>
      <c r="I26" s="18">
        <f t="shared" si="17"/>
        <v>52.004470272686639</v>
      </c>
      <c r="J26" s="18">
        <f t="shared" si="17"/>
        <v>40.992810776854881</v>
      </c>
      <c r="K26" s="18">
        <f t="shared" si="17"/>
        <v>75.788983169889775</v>
      </c>
      <c r="L26" s="18">
        <f t="shared" si="17"/>
        <v>50.07573227812675</v>
      </c>
      <c r="M26" s="18">
        <f t="shared" si="17"/>
        <v>28.252625600709642</v>
      </c>
    </row>
    <row r="27" spans="1:13">
      <c r="A27" s="19" t="s">
        <v>32</v>
      </c>
      <c r="B27" s="17"/>
      <c r="C27" s="17"/>
      <c r="D27" s="17"/>
      <c r="E27" s="17"/>
      <c r="F27" s="17"/>
      <c r="G27" s="18">
        <f t="shared" ref="G27:M36" si="18">G111*G$1</f>
        <v>1.16321283889062</v>
      </c>
      <c r="H27" s="18">
        <f t="shared" si="18"/>
        <v>1.4340888066604998</v>
      </c>
      <c r="I27" s="18">
        <f t="shared" si="18"/>
        <v>1.6696468484577562</v>
      </c>
      <c r="J27" s="18">
        <f t="shared" si="18"/>
        <v>1.8035178334612969</v>
      </c>
      <c r="K27" s="18">
        <f t="shared" si="18"/>
        <v>1.6972893634701636</v>
      </c>
      <c r="L27" s="18">
        <f t="shared" si="18"/>
        <v>1.8496312709045535</v>
      </c>
      <c r="M27" s="18">
        <f t="shared" si="18"/>
        <v>0.75046293737758485</v>
      </c>
    </row>
    <row r="28" spans="1:13">
      <c r="A28" s="19" t="s">
        <v>33</v>
      </c>
      <c r="B28" s="18">
        <f t="shared" ref="B28:F40" si="19">B112*B$1</f>
        <v>58.114591577261507</v>
      </c>
      <c r="C28" s="18">
        <f t="shared" si="19"/>
        <v>65.79458172075023</v>
      </c>
      <c r="D28" s="18">
        <f t="shared" si="19"/>
        <v>64.48975004495594</v>
      </c>
      <c r="E28" s="18">
        <f t="shared" si="19"/>
        <v>62.895661068962575</v>
      </c>
      <c r="F28" s="18">
        <f t="shared" si="19"/>
        <v>59.454371104363112</v>
      </c>
      <c r="G28" s="18">
        <f t="shared" si="18"/>
        <v>66.49665004674354</v>
      </c>
      <c r="H28" s="18">
        <f t="shared" si="18"/>
        <v>115.54093432007403</v>
      </c>
      <c r="I28" s="18">
        <f t="shared" si="18"/>
        <v>125.94769780956639</v>
      </c>
      <c r="J28" s="18">
        <f t="shared" si="18"/>
        <v>120.91861520206602</v>
      </c>
      <c r="K28" s="18">
        <f t="shared" si="18"/>
        <v>134.31323919637995</v>
      </c>
      <c r="L28" s="18">
        <f t="shared" si="18"/>
        <v>149.72571545929114</v>
      </c>
      <c r="M28" s="18">
        <f t="shared" si="18"/>
        <v>142.56869377903428</v>
      </c>
    </row>
    <row r="29" spans="1:13">
      <c r="A29" s="19" t="s">
        <v>34</v>
      </c>
      <c r="B29" s="18">
        <f t="shared" si="19"/>
        <v>18.519834598508012</v>
      </c>
      <c r="C29" s="18">
        <f t="shared" si="19"/>
        <v>46.026198273295627</v>
      </c>
      <c r="D29" s="18">
        <f t="shared" si="19"/>
        <v>48.530570041359468</v>
      </c>
      <c r="E29" s="18">
        <f t="shared" si="19"/>
        <v>47.392123433637373</v>
      </c>
      <c r="F29" s="18">
        <f t="shared" si="19"/>
        <v>50.78520057535561</v>
      </c>
      <c r="G29" s="18">
        <f t="shared" si="18"/>
        <v>55.095902150202555</v>
      </c>
      <c r="H29" s="18">
        <f t="shared" si="18"/>
        <v>57.072155411655885</v>
      </c>
      <c r="I29" s="18">
        <f t="shared" si="18"/>
        <v>58.687080911935638</v>
      </c>
      <c r="J29" s="18">
        <f t="shared" si="18"/>
        <v>13.206951908983038</v>
      </c>
      <c r="K29" s="18">
        <f t="shared" si="18"/>
        <v>38.923070423883289</v>
      </c>
      <c r="L29" s="18">
        <f t="shared" si="18"/>
        <v>60.113167834778324</v>
      </c>
      <c r="M29" s="18">
        <f t="shared" si="18"/>
        <v>60.397843418001372</v>
      </c>
    </row>
    <row r="30" spans="1:13">
      <c r="A30" s="19" t="s">
        <v>35</v>
      </c>
      <c r="B30" s="18">
        <f t="shared" si="19"/>
        <v>456.3562781854539</v>
      </c>
      <c r="C30" s="18">
        <f t="shared" si="19"/>
        <v>485.07025900565657</v>
      </c>
      <c r="D30" s="18">
        <f t="shared" si="19"/>
        <v>476.38662111131089</v>
      </c>
      <c r="E30" s="18">
        <f t="shared" si="19"/>
        <v>488.96905634643252</v>
      </c>
      <c r="F30" s="18">
        <f t="shared" si="19"/>
        <v>510.59213680677641</v>
      </c>
      <c r="G30" s="18">
        <f t="shared" si="18"/>
        <v>560.15534434403241</v>
      </c>
      <c r="H30" s="18">
        <f t="shared" si="18"/>
        <v>607.10037002775221</v>
      </c>
      <c r="I30" s="18">
        <f t="shared" si="18"/>
        <v>655.5723513634332</v>
      </c>
      <c r="J30" s="18">
        <f t="shared" si="18"/>
        <v>562.08451874083903</v>
      </c>
      <c r="K30" s="18">
        <f t="shared" si="18"/>
        <v>596.98214502890391</v>
      </c>
      <c r="L30" s="18">
        <f t="shared" si="18"/>
        <v>732.8272129840592</v>
      </c>
      <c r="M30" s="18">
        <f t="shared" si="18"/>
        <v>836.10601111866674</v>
      </c>
    </row>
    <row r="31" spans="1:13">
      <c r="A31" s="19" t="s">
        <v>36</v>
      </c>
      <c r="B31" s="18">
        <f t="shared" si="19"/>
        <v>115.99248856191552</v>
      </c>
      <c r="C31" s="18">
        <f t="shared" si="19"/>
        <v>175.22536469187261</v>
      </c>
      <c r="D31" s="18">
        <f t="shared" si="19"/>
        <v>162.34957741413416</v>
      </c>
      <c r="E31" s="18">
        <f t="shared" si="19"/>
        <v>133.67888500554091</v>
      </c>
      <c r="F31" s="18">
        <f t="shared" si="19"/>
        <v>91.522534761067604</v>
      </c>
      <c r="G31" s="18">
        <f t="shared" si="18"/>
        <v>78.095123091305695</v>
      </c>
      <c r="H31" s="18">
        <f t="shared" si="18"/>
        <v>66.299028677150801</v>
      </c>
      <c r="I31" s="18">
        <f t="shared" si="18"/>
        <v>73.239159588734921</v>
      </c>
      <c r="J31" s="18">
        <f t="shared" si="18"/>
        <v>68.213303552732597</v>
      </c>
      <c r="K31" s="18">
        <f t="shared" si="18"/>
        <v>60.364776559873455</v>
      </c>
      <c r="L31" s="18">
        <f t="shared" si="18"/>
        <v>55.549434625625523</v>
      </c>
      <c r="M31" s="18">
        <f t="shared" si="18"/>
        <v>50.646514719481942</v>
      </c>
    </row>
    <row r="32" spans="1:13">
      <c r="A32" s="19" t="s">
        <v>37</v>
      </c>
      <c r="B32" s="18">
        <f t="shared" si="19"/>
        <v>39.248818728019444</v>
      </c>
      <c r="C32" s="18">
        <f t="shared" si="19"/>
        <v>26.565942244715693</v>
      </c>
      <c r="D32" s="18">
        <f t="shared" si="19"/>
        <v>24.613648624348141</v>
      </c>
      <c r="E32" s="18">
        <f t="shared" si="19"/>
        <v>22.841019520927457</v>
      </c>
      <c r="F32" s="18">
        <f t="shared" si="19"/>
        <v>26.736774812210328</v>
      </c>
      <c r="G32" s="18">
        <f t="shared" si="18"/>
        <v>41.612729822374568</v>
      </c>
      <c r="H32" s="18">
        <f t="shared" si="18"/>
        <v>52.297409805735434</v>
      </c>
      <c r="I32" s="18">
        <f t="shared" si="18"/>
        <v>43.457085382208327</v>
      </c>
      <c r="J32" s="18">
        <f t="shared" si="18"/>
        <v>32.29182662106512</v>
      </c>
      <c r="K32" s="18">
        <f t="shared" si="18"/>
        <v>36.502463652351999</v>
      </c>
      <c r="L32" s="18">
        <f t="shared" si="18"/>
        <v>48.051534627091804</v>
      </c>
      <c r="M32" s="18">
        <f t="shared" si="18"/>
        <v>48.761367699368101</v>
      </c>
    </row>
    <row r="33" spans="1:13">
      <c r="A33" s="19" t="s">
        <v>38</v>
      </c>
      <c r="B33" s="18">
        <f t="shared" si="19"/>
        <v>1544.4959422312343</v>
      </c>
      <c r="C33" s="18">
        <f t="shared" si="19"/>
        <v>1641.5126525751714</v>
      </c>
      <c r="D33" s="18">
        <f t="shared" si="19"/>
        <v>1553.5463046214711</v>
      </c>
      <c r="E33" s="18">
        <f t="shared" si="19"/>
        <v>1674.2969056346435</v>
      </c>
      <c r="F33" s="18">
        <f t="shared" si="19"/>
        <v>1686.6844334345533</v>
      </c>
      <c r="G33" s="18">
        <f t="shared" si="18"/>
        <v>1910.2983795574944</v>
      </c>
      <c r="H33" s="18">
        <f t="shared" si="18"/>
        <v>2095.8718778908419</v>
      </c>
      <c r="I33" s="18">
        <f t="shared" si="18"/>
        <v>2198.7806660706306</v>
      </c>
      <c r="J33" s="18">
        <f t="shared" si="18"/>
        <v>1718.554051790326</v>
      </c>
      <c r="K33" s="18">
        <f t="shared" si="18"/>
        <v>1911.4951588544434</v>
      </c>
      <c r="L33" s="18">
        <f t="shared" si="18"/>
        <v>2297.4232565678703</v>
      </c>
      <c r="M33" s="18">
        <f t="shared" si="18"/>
        <v>2781.5212583101347</v>
      </c>
    </row>
    <row r="34" spans="1:13">
      <c r="A34" s="19" t="s">
        <v>39</v>
      </c>
      <c r="B34" s="18">
        <f t="shared" si="19"/>
        <v>239.68665502175227</v>
      </c>
      <c r="C34" s="18">
        <f t="shared" si="19"/>
        <v>237.62786543614172</v>
      </c>
      <c r="D34" s="18">
        <f t="shared" si="19"/>
        <v>258.74312174069411</v>
      </c>
      <c r="E34" s="18">
        <f t="shared" si="19"/>
        <v>230.02361265024297</v>
      </c>
      <c r="F34" s="18">
        <f t="shared" si="19"/>
        <v>276.26562250279687</v>
      </c>
      <c r="G34" s="18">
        <f t="shared" si="18"/>
        <v>263.80110626363347</v>
      </c>
      <c r="H34" s="18">
        <f t="shared" si="18"/>
        <v>286.51387604070311</v>
      </c>
      <c r="I34" s="18">
        <f t="shared" si="18"/>
        <v>116.88332588287886</v>
      </c>
      <c r="J34" s="18">
        <f t="shared" si="18"/>
        <v>93.002722133035519</v>
      </c>
      <c r="K34" s="18">
        <f t="shared" si="18"/>
        <v>111.80625123416117</v>
      </c>
      <c r="L34" s="18">
        <f t="shared" si="18"/>
        <v>131.16529899715269</v>
      </c>
      <c r="M34" s="18">
        <f t="shared" si="18"/>
        <v>120.47102789688482</v>
      </c>
    </row>
    <row r="35" spans="1:13">
      <c r="A35" s="15" t="s">
        <v>40</v>
      </c>
      <c r="B35" s="18">
        <f t="shared" si="19"/>
        <v>3195.5530038727925</v>
      </c>
      <c r="C35" s="18">
        <f t="shared" si="19"/>
        <v>3051.5814230425722</v>
      </c>
      <c r="D35" s="18">
        <f t="shared" si="19"/>
        <v>3088.8497662290952</v>
      </c>
      <c r="E35" s="18">
        <f t="shared" si="19"/>
        <v>3390.2894893870948</v>
      </c>
      <c r="F35" s="18">
        <f t="shared" si="19"/>
        <v>3753.8695061531084</v>
      </c>
      <c r="G35" s="18">
        <f t="shared" si="18"/>
        <v>3994.2152150202551</v>
      </c>
      <c r="H35" s="18">
        <f t="shared" si="18"/>
        <v>4328.234042553192</v>
      </c>
      <c r="I35" s="18">
        <f t="shared" si="18"/>
        <v>4391.9336164506039</v>
      </c>
      <c r="J35" s="18">
        <f t="shared" si="18"/>
        <v>3233.5423884972429</v>
      </c>
      <c r="K35" s="18">
        <f t="shared" si="18"/>
        <v>4247.3502567585301</v>
      </c>
      <c r="L35" s="18">
        <f t="shared" si="18"/>
        <v>5002.801759560235</v>
      </c>
      <c r="M35" s="18">
        <f t="shared" si="18"/>
        <v>5157.0282019633423</v>
      </c>
    </row>
    <row r="36" spans="1:13">
      <c r="A36" s="19" t="s">
        <v>41</v>
      </c>
      <c r="B36" s="18">
        <f t="shared" si="19"/>
        <v>740.84497122332482</v>
      </c>
      <c r="C36" s="18">
        <f t="shared" si="19"/>
        <v>684.81988687109265</v>
      </c>
      <c r="D36" s="18">
        <f t="shared" si="19"/>
        <v>644.71785650062941</v>
      </c>
      <c r="E36" s="18">
        <f t="shared" si="19"/>
        <v>679.45358451964887</v>
      </c>
      <c r="F36" s="18">
        <f t="shared" si="19"/>
        <v>767.69410260508232</v>
      </c>
      <c r="G36" s="18">
        <f t="shared" si="18"/>
        <v>803.55920847616085</v>
      </c>
      <c r="H36" s="18">
        <f t="shared" si="18"/>
        <v>884.60175763182247</v>
      </c>
      <c r="I36" s="18">
        <f t="shared" si="18"/>
        <v>912.31113097898981</v>
      </c>
      <c r="J36" s="18">
        <f t="shared" si="18"/>
        <v>753.49165910518593</v>
      </c>
      <c r="K36" s="18">
        <f t="shared" si="18"/>
        <v>926.66628076599204</v>
      </c>
      <c r="L36" s="18">
        <f t="shared" si="18"/>
        <v>1070.7692867100197</v>
      </c>
      <c r="M36" s="18">
        <f t="shared" si="18"/>
        <v>1098.019342202293</v>
      </c>
    </row>
    <row r="37" spans="1:13">
      <c r="A37" s="19" t="s">
        <v>39</v>
      </c>
      <c r="B37" s="18">
        <f t="shared" si="19"/>
        <v>50.743679199778967</v>
      </c>
      <c r="C37" s="18">
        <f t="shared" si="19"/>
        <v>52.129800535873777</v>
      </c>
      <c r="D37" s="18">
        <f t="shared" si="19"/>
        <v>45.758226937601158</v>
      </c>
      <c r="E37" s="18">
        <f t="shared" si="19"/>
        <v>45.369022248742652</v>
      </c>
      <c r="F37" s="18">
        <f t="shared" si="19"/>
        <v>48.765702413297106</v>
      </c>
      <c r="G37" s="18">
        <f t="shared" ref="G37:M46" si="20">G121*G$1</f>
        <v>51.107743845434705</v>
      </c>
      <c r="H37" s="18">
        <f t="shared" si="20"/>
        <v>59.925763182238676</v>
      </c>
      <c r="I37" s="18">
        <f t="shared" si="20"/>
        <v>58.168082253017438</v>
      </c>
      <c r="J37" s="18">
        <f t="shared" si="20"/>
        <v>37.983178613806096</v>
      </c>
      <c r="K37" s="18">
        <f t="shared" si="20"/>
        <v>54.762647426647568</v>
      </c>
      <c r="L37" s="18">
        <f t="shared" si="20"/>
        <v>77.376167753197137</v>
      </c>
      <c r="M37" s="18">
        <f t="shared" si="20"/>
        <v>71.081029386956544</v>
      </c>
    </row>
    <row r="38" spans="1:13">
      <c r="A38" s="19" t="s">
        <v>42</v>
      </c>
      <c r="B38" s="18">
        <f t="shared" si="19"/>
        <v>163.76231262380529</v>
      </c>
      <c r="C38" s="18">
        <f t="shared" si="19"/>
        <v>246.15629651682053</v>
      </c>
      <c r="D38" s="18">
        <f t="shared" si="19"/>
        <v>235.28744830066537</v>
      </c>
      <c r="E38" s="18">
        <f t="shared" si="19"/>
        <v>233.63021055323503</v>
      </c>
      <c r="F38" s="18">
        <f t="shared" si="19"/>
        <v>313.44725906984183</v>
      </c>
      <c r="G38" s="18">
        <f t="shared" si="20"/>
        <v>400.14100966033027</v>
      </c>
      <c r="H38" s="18">
        <f t="shared" si="20"/>
        <v>432.03330249768737</v>
      </c>
      <c r="I38" s="18">
        <f t="shared" si="20"/>
        <v>440.55341975860534</v>
      </c>
      <c r="J38" s="18">
        <f t="shared" si="20"/>
        <v>101.38521672366859</v>
      </c>
      <c r="K38" s="18">
        <f t="shared" si="20"/>
        <v>281.28453303382958</v>
      </c>
      <c r="L38" s="18">
        <f t="shared" si="20"/>
        <v>434.36669621194898</v>
      </c>
      <c r="M38" s="18">
        <f t="shared" si="20"/>
        <v>505.07592259444846</v>
      </c>
    </row>
    <row r="39" spans="1:13">
      <c r="A39" s="19" t="s">
        <v>43</v>
      </c>
      <c r="B39" s="18">
        <f t="shared" si="19"/>
        <v>1380.7548714298425</v>
      </c>
      <c r="C39" s="18">
        <f t="shared" si="19"/>
        <v>1372.8416195296222</v>
      </c>
      <c r="D39" s="18">
        <f t="shared" si="19"/>
        <v>1419.4493796079844</v>
      </c>
      <c r="E39" s="18">
        <f t="shared" si="19"/>
        <v>1514.5915949194443</v>
      </c>
      <c r="F39" s="18">
        <f t="shared" si="19"/>
        <v>1590.8855681636569</v>
      </c>
      <c r="G39" s="18">
        <f t="shared" si="20"/>
        <v>1660.1508258024305</v>
      </c>
      <c r="H39" s="18">
        <f t="shared" si="20"/>
        <v>1815.0339962997227</v>
      </c>
      <c r="I39" s="18">
        <f t="shared" si="20"/>
        <v>1860.7007152436302</v>
      </c>
      <c r="J39" s="18">
        <f t="shared" si="20"/>
        <v>1433.6542053465482</v>
      </c>
      <c r="K39" s="18">
        <f t="shared" si="20"/>
        <v>1824.4410441708887</v>
      </c>
      <c r="L39" s="18">
        <f t="shared" si="20"/>
        <v>2073.9766962036574</v>
      </c>
      <c r="M39" s="18">
        <f t="shared" si="20"/>
        <v>2142.2126779379537</v>
      </c>
    </row>
    <row r="40" spans="1:13">
      <c r="A40" s="19" t="s">
        <v>44</v>
      </c>
      <c r="B40" s="18">
        <f t="shared" si="19"/>
        <v>859.44716939604098</v>
      </c>
      <c r="C40" s="18">
        <f t="shared" si="19"/>
        <v>695.63381958916352</v>
      </c>
      <c r="D40" s="18">
        <f t="shared" si="19"/>
        <v>743.63855421686753</v>
      </c>
      <c r="E40" s="18">
        <f t="shared" si="19"/>
        <v>857.50490154292049</v>
      </c>
      <c r="F40" s="18">
        <f t="shared" si="19"/>
        <v>972.74868147674601</v>
      </c>
      <c r="G40" s="18">
        <f t="shared" si="20"/>
        <v>1014.603459021502</v>
      </c>
      <c r="H40" s="18">
        <f t="shared" si="20"/>
        <v>1064.9451896392231</v>
      </c>
      <c r="I40" s="18">
        <f t="shared" si="20"/>
        <v>1049.4293696915513</v>
      </c>
      <c r="J40" s="18">
        <f t="shared" si="20"/>
        <v>841.98087527046835</v>
      </c>
      <c r="K40" s="18">
        <f t="shared" si="20"/>
        <v>1076.6042502102666</v>
      </c>
      <c r="L40" s="18">
        <f t="shared" si="20"/>
        <v>1244.1081723253037</v>
      </c>
      <c r="M40" s="18">
        <f t="shared" si="20"/>
        <v>1245.0713660856532</v>
      </c>
    </row>
    <row r="41" spans="1:13" s="20" customFormat="1">
      <c r="A41" s="19" t="s">
        <v>26</v>
      </c>
      <c r="B41" s="17"/>
      <c r="C41" s="17"/>
      <c r="D41" s="17"/>
      <c r="E41" s="18">
        <f t="shared" ref="E41:F43" si="21">E125*E$1</f>
        <v>59.740175603102891</v>
      </c>
      <c r="F41" s="18">
        <f t="shared" si="21"/>
        <v>60.328192424484577</v>
      </c>
      <c r="G41" s="18">
        <f t="shared" si="20"/>
        <v>64.651916484886257</v>
      </c>
      <c r="H41" s="18">
        <f t="shared" si="20"/>
        <v>71.694033302497701</v>
      </c>
      <c r="I41" s="18">
        <f t="shared" si="20"/>
        <v>70.770898524810022</v>
      </c>
      <c r="J41" s="18">
        <f t="shared" si="20"/>
        <v>65.047253437565431</v>
      </c>
      <c r="K41" s="18">
        <f t="shared" si="20"/>
        <v>83.591501150905557</v>
      </c>
      <c r="L41" s="18">
        <f t="shared" si="20"/>
        <v>102.20474035610893</v>
      </c>
      <c r="M41" s="18">
        <f t="shared" si="20"/>
        <v>95.56786375603717</v>
      </c>
    </row>
    <row r="42" spans="1:13">
      <c r="A42" s="13" t="s">
        <v>45</v>
      </c>
      <c r="B42" s="18">
        <f t="shared" ref="B42:D43" si="22">B126*B$1</f>
        <v>35.313012489404848</v>
      </c>
      <c r="C42" s="18">
        <f t="shared" si="22"/>
        <v>27.04822863947604</v>
      </c>
      <c r="D42" s="18">
        <f t="shared" si="22"/>
        <v>2.4276209314871427E-6</v>
      </c>
      <c r="E42" s="18">
        <f t="shared" si="21"/>
        <v>48.722444804364507</v>
      </c>
      <c r="F42" s="18">
        <f t="shared" si="21"/>
        <v>41.876538277129619</v>
      </c>
      <c r="G42" s="18">
        <f t="shared" si="20"/>
        <v>2.6819102524150824</v>
      </c>
      <c r="H42" s="18">
        <f t="shared" si="20"/>
        <v>2.8411193339500467</v>
      </c>
      <c r="I42" s="18">
        <f t="shared" si="20"/>
        <v>0</v>
      </c>
      <c r="J42" s="18">
        <f t="shared" si="20"/>
        <v>0</v>
      </c>
      <c r="K42" s="18">
        <f t="shared" si="20"/>
        <v>44.074021371882928</v>
      </c>
      <c r="L42" s="18">
        <f t="shared" si="20"/>
        <v>22.276768956369729</v>
      </c>
      <c r="M42" s="18">
        <f t="shared" si="20"/>
        <v>31.445572241413647</v>
      </c>
    </row>
    <row r="43" spans="1:13">
      <c r="A43" s="13" t="s">
        <v>46</v>
      </c>
      <c r="B43" s="22">
        <f t="shared" si="22"/>
        <v>569.99699355158964</v>
      </c>
      <c r="C43" s="22">
        <f t="shared" si="22"/>
        <v>1099.8032152426319</v>
      </c>
      <c r="D43" s="22">
        <f t="shared" si="22"/>
        <v>832.953155907211</v>
      </c>
      <c r="E43" s="22">
        <f t="shared" si="21"/>
        <v>822.78995823032994</v>
      </c>
      <c r="F43" s="22">
        <f t="shared" si="21"/>
        <v>728.27289435831869</v>
      </c>
      <c r="G43" s="22">
        <f t="shared" si="20"/>
        <v>1120.089825490807</v>
      </c>
      <c r="H43" s="22">
        <f t="shared" si="20"/>
        <v>1516.3147548566144</v>
      </c>
      <c r="I43" s="22">
        <f t="shared" si="20"/>
        <v>1297.6012516763524</v>
      </c>
      <c r="J43" s="22">
        <f t="shared" si="20"/>
        <v>1171.8644517344871</v>
      </c>
      <c r="K43" s="22">
        <f t="shared" si="20"/>
        <v>1661.982880086586</v>
      </c>
      <c r="L43" s="22">
        <f t="shared" si="20"/>
        <v>1184.6426417905545</v>
      </c>
      <c r="M43" s="22">
        <f t="shared" si="20"/>
        <v>1467.3195815522454</v>
      </c>
    </row>
    <row r="44" spans="1:13">
      <c r="A44" s="23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1:13">
      <c r="A45" s="12" t="s">
        <v>47</v>
      </c>
      <c r="B45" s="18">
        <f t="shared" ref="B45:M45" si="23">B129*B$1</f>
        <v>30.821884321980324</v>
      </c>
      <c r="C45" s="18">
        <f t="shared" si="23"/>
        <v>17.638285203929744</v>
      </c>
      <c r="D45" s="18">
        <f t="shared" si="23"/>
        <v>36.635227477072469</v>
      </c>
      <c r="E45" s="18">
        <f t="shared" si="23"/>
        <v>15.020202881254797</v>
      </c>
      <c r="F45" s="18">
        <f t="shared" si="23"/>
        <v>12.26801981780406</v>
      </c>
      <c r="G45" s="18">
        <f t="shared" si="23"/>
        <v>102.79814583982549</v>
      </c>
      <c r="H45" s="18">
        <f t="shared" si="23"/>
        <v>52.694958371877895</v>
      </c>
      <c r="I45" s="18">
        <f t="shared" si="23"/>
        <v>24.143495753240952</v>
      </c>
      <c r="J45" s="18">
        <f t="shared" si="23"/>
        <v>6.6355133663711872</v>
      </c>
      <c r="K45" s="18">
        <f t="shared" si="23"/>
        <v>16.26389934363182</v>
      </c>
      <c r="L45" s="18">
        <f t="shared" si="23"/>
        <v>0</v>
      </c>
      <c r="M45" s="18">
        <f t="shared" si="23"/>
        <v>0</v>
      </c>
    </row>
    <row r="46" spans="1:13">
      <c r="A46" s="1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</row>
    <row r="47" spans="1:13">
      <c r="A47" s="12" t="s">
        <v>48</v>
      </c>
      <c r="B47" s="18">
        <f t="shared" ref="B47:M47" si="24">B131*B$1</f>
        <v>119.57628745767792</v>
      </c>
      <c r="C47" s="18">
        <f t="shared" si="24"/>
        <v>279.42066091098548</v>
      </c>
      <c r="D47" s="18">
        <f t="shared" si="24"/>
        <v>121.81316310016186</v>
      </c>
      <c r="E47" s="18">
        <f t="shared" si="24"/>
        <v>125.74759185065213</v>
      </c>
      <c r="F47" s="18">
        <f t="shared" si="24"/>
        <v>114.19657983058976</v>
      </c>
      <c r="G47" s="18">
        <f t="shared" si="24"/>
        <v>118.0966033032097</v>
      </c>
      <c r="H47" s="18">
        <f t="shared" si="24"/>
        <v>219.52590194264573</v>
      </c>
      <c r="I47" s="18">
        <f t="shared" si="24"/>
        <v>93.677246312025048</v>
      </c>
      <c r="J47" s="18">
        <f t="shared" si="24"/>
        <v>135.30529768967682</v>
      </c>
      <c r="K47" s="18">
        <f t="shared" si="24"/>
        <v>137.11698934742878</v>
      </c>
      <c r="L47" s="18">
        <f t="shared" si="24"/>
        <v>111.56416078103086</v>
      </c>
      <c r="M47" s="18">
        <f t="shared" si="24"/>
        <v>142.43747506701644</v>
      </c>
    </row>
    <row r="48" spans="1:13">
      <c r="A48" s="23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>
      <c r="A49" s="10" t="s">
        <v>49</v>
      </c>
      <c r="B49" s="24">
        <f t="shared" ref="B49:J49" si="25">SUM(B50,B55,B57)</f>
        <v>12116.302124650536</v>
      </c>
      <c r="C49" s="24">
        <f t="shared" si="25"/>
        <v>10589.983030663891</v>
      </c>
      <c r="D49" s="24">
        <f t="shared" si="25"/>
        <v>10171.411256968173</v>
      </c>
      <c r="E49" s="24">
        <f t="shared" si="25"/>
        <v>10603.897280709232</v>
      </c>
      <c r="F49" s="24">
        <f t="shared" si="25"/>
        <v>10860.326034840979</v>
      </c>
      <c r="G49" s="24">
        <f t="shared" si="25"/>
        <v>11612.147631660951</v>
      </c>
      <c r="H49" s="24">
        <f t="shared" si="25"/>
        <v>12584.127197039779</v>
      </c>
      <c r="I49" s="24">
        <f t="shared" si="25"/>
        <v>12680.352257487706</v>
      </c>
      <c r="J49" s="24">
        <f t="shared" si="25"/>
        <v>11984.088985830947</v>
      </c>
      <c r="K49" s="24">
        <f>SUM(K50,K55,K57)</f>
        <v>12512.952513999597</v>
      </c>
      <c r="L49" s="24">
        <f>SUM(L50,L55,L57)</f>
        <v>14427.919676245438</v>
      </c>
      <c r="M49" s="24">
        <f>SUM(M50,M55,M57)</f>
        <v>16184.688896339318</v>
      </c>
    </row>
    <row r="50" spans="1:13">
      <c r="A50" s="12" t="s">
        <v>50</v>
      </c>
      <c r="B50" s="11">
        <f t="shared" ref="B50:J50" si="26">SUM(B51:B53)</f>
        <v>10970.52125821271</v>
      </c>
      <c r="C50" s="11">
        <f t="shared" si="26"/>
        <v>9598.9139624888376</v>
      </c>
      <c r="D50" s="11">
        <f t="shared" si="26"/>
        <v>9612.5947671282156</v>
      </c>
      <c r="E50" s="11">
        <f t="shared" si="26"/>
        <v>9850.1850652118319</v>
      </c>
      <c r="F50" s="11">
        <f t="shared" si="26"/>
        <v>9955.105401949817</v>
      </c>
      <c r="G50" s="11">
        <f t="shared" si="26"/>
        <v>10627.600498597692</v>
      </c>
      <c r="H50" s="11">
        <f t="shared" si="26"/>
        <v>11206.146854764109</v>
      </c>
      <c r="I50" s="11">
        <f t="shared" si="26"/>
        <v>11264.31269557443</v>
      </c>
      <c r="J50" s="11">
        <f t="shared" si="26"/>
        <v>11057.188804355412</v>
      </c>
      <c r="K50" s="11">
        <f>SUM(K51:K53)</f>
        <v>11608.623134181551</v>
      </c>
      <c r="L50" s="11">
        <f>SUM(L51:L53)</f>
        <v>13492.124498619269</v>
      </c>
      <c r="M50" s="11">
        <f>SUM(M51:M53)</f>
        <v>15206.306421765816</v>
      </c>
    </row>
    <row r="51" spans="1:13">
      <c r="A51" s="26" t="s">
        <v>51</v>
      </c>
      <c r="B51" s="18">
        <f t="shared" ref="B51:M51" si="27">B135*B$1</f>
        <v>4472.3686036873478</v>
      </c>
      <c r="C51" s="18">
        <f t="shared" si="27"/>
        <v>4189.5040190532909</v>
      </c>
      <c r="D51" s="18">
        <f t="shared" si="27"/>
        <v>3854.0545765150155</v>
      </c>
      <c r="E51" s="18">
        <f t="shared" si="27"/>
        <v>3884.8007842468674</v>
      </c>
      <c r="F51" s="18">
        <f t="shared" si="27"/>
        <v>3863.5437909541315</v>
      </c>
      <c r="G51" s="18">
        <f t="shared" si="27"/>
        <v>4065.639217824867</v>
      </c>
      <c r="H51" s="18">
        <f t="shared" si="27"/>
        <v>4165.4202127659582</v>
      </c>
      <c r="I51" s="18">
        <f t="shared" si="27"/>
        <v>4256.9476978095672</v>
      </c>
      <c r="J51" s="18">
        <f t="shared" si="27"/>
        <v>4202.4848886717382</v>
      </c>
      <c r="K51" s="18">
        <f t="shared" si="27"/>
        <v>4328.2866100971714</v>
      </c>
      <c r="L51" s="18">
        <f t="shared" si="27"/>
        <v>5949.4172530214701</v>
      </c>
      <c r="M51" s="18">
        <f t="shared" si="27"/>
        <v>7068.8870740899902</v>
      </c>
    </row>
    <row r="52" spans="1:13">
      <c r="A52" s="26" t="s">
        <v>52</v>
      </c>
      <c r="B52" s="18">
        <f t="shared" ref="B52:M52" si="28">B136*B$1</f>
        <v>3851.9829728248906</v>
      </c>
      <c r="C52" s="18">
        <f t="shared" si="28"/>
        <v>2945.1488538255439</v>
      </c>
      <c r="D52" s="18">
        <f t="shared" si="28"/>
        <v>3022.6939399388602</v>
      </c>
      <c r="E52" s="18">
        <f t="shared" si="28"/>
        <v>2892.6365186258631</v>
      </c>
      <c r="F52" s="18">
        <f t="shared" si="28"/>
        <v>3006.7263864471797</v>
      </c>
      <c r="G52" s="18">
        <f t="shared" si="28"/>
        <v>2843.4769398566527</v>
      </c>
      <c r="H52" s="18">
        <f t="shared" si="28"/>
        <v>2688.9290009250699</v>
      </c>
      <c r="I52" s="18">
        <f t="shared" si="28"/>
        <v>2645.02838623156</v>
      </c>
      <c r="J52" s="18">
        <f t="shared" si="28"/>
        <v>2431.788441404341</v>
      </c>
      <c r="K52" s="18">
        <f t="shared" si="28"/>
        <v>2453.6878006123416</v>
      </c>
      <c r="L52" s="18">
        <f t="shared" si="28"/>
        <v>2663.4818580488973</v>
      </c>
      <c r="M52" s="18">
        <f t="shared" si="28"/>
        <v>3015.2676792370967</v>
      </c>
    </row>
    <row r="53" spans="1:13">
      <c r="A53" s="26" t="s">
        <v>53</v>
      </c>
      <c r="B53" s="18">
        <f t="shared" ref="B53:M53" si="29">B137*B$1</f>
        <v>2646.1696817004699</v>
      </c>
      <c r="C53" s="18">
        <f t="shared" si="29"/>
        <v>2464.2610896100032</v>
      </c>
      <c r="D53" s="18">
        <f t="shared" si="29"/>
        <v>2735.8462506743394</v>
      </c>
      <c r="E53" s="18">
        <f t="shared" si="29"/>
        <v>3072.7477623391019</v>
      </c>
      <c r="F53" s="18">
        <f t="shared" si="29"/>
        <v>3084.8352245485057</v>
      </c>
      <c r="G53" s="18">
        <f t="shared" si="29"/>
        <v>3718.4843409161731</v>
      </c>
      <c r="H53" s="18">
        <f t="shared" si="29"/>
        <v>4351.7976410730816</v>
      </c>
      <c r="I53" s="18">
        <f t="shared" si="29"/>
        <v>4362.3366115333038</v>
      </c>
      <c r="J53" s="18">
        <f t="shared" si="29"/>
        <v>4422.9154742793326</v>
      </c>
      <c r="K53" s="18">
        <f t="shared" si="29"/>
        <v>4826.6487234720389</v>
      </c>
      <c r="L53" s="18">
        <f t="shared" si="29"/>
        <v>4879.2253875489005</v>
      </c>
      <c r="M53" s="18">
        <f t="shared" si="29"/>
        <v>5122.1516684387298</v>
      </c>
    </row>
    <row r="54" spans="1:13">
      <c r="A54" s="23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>
      <c r="A55" s="12" t="s">
        <v>54</v>
      </c>
      <c r="B55" s="18">
        <f t="shared" ref="B55:M55" si="30">B139*B$1</f>
        <v>1145.7808664378269</v>
      </c>
      <c r="C55" s="18">
        <f t="shared" si="30"/>
        <v>991.06906817505228</v>
      </c>
      <c r="D55" s="18">
        <f t="shared" si="30"/>
        <v>558.81648983995683</v>
      </c>
      <c r="E55" s="18">
        <f t="shared" si="30"/>
        <v>753.71221549740017</v>
      </c>
      <c r="F55" s="18">
        <f t="shared" si="30"/>
        <v>905.22063289116204</v>
      </c>
      <c r="G55" s="18">
        <f t="shared" si="30"/>
        <v>984.54713306325948</v>
      </c>
      <c r="H55" s="18">
        <f t="shared" si="30"/>
        <v>1377.9803422756709</v>
      </c>
      <c r="I55" s="18">
        <f t="shared" si="30"/>
        <v>1416.0395619132767</v>
      </c>
      <c r="J55" s="18">
        <f t="shared" si="30"/>
        <v>926.90018147553565</v>
      </c>
      <c r="K55" s="18">
        <f t="shared" si="30"/>
        <v>904.32937981804491</v>
      </c>
      <c r="L55" s="18">
        <f t="shared" si="30"/>
        <v>935.79517762616899</v>
      </c>
      <c r="M55" s="18">
        <f t="shared" si="30"/>
        <v>978.3824745735011</v>
      </c>
    </row>
    <row r="56" spans="1:13">
      <c r="A56" s="1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13">
      <c r="A57" s="12" t="s">
        <v>55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>
      <c r="A58" s="28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</row>
    <row r="59" spans="1:13" ht="18" customHeight="1">
      <c r="A59" s="29" t="s">
        <v>56</v>
      </c>
      <c r="B59" s="30">
        <f t="shared" ref="B59:M59" si="31">B11-B50</f>
        <v>-661.79868480526238</v>
      </c>
      <c r="C59" s="30">
        <f t="shared" si="31"/>
        <v>740.57085710032698</v>
      </c>
      <c r="D59" s="30">
        <f t="shared" si="31"/>
        <v>223.86379733860849</v>
      </c>
      <c r="E59" s="30">
        <f t="shared" si="31"/>
        <v>500.53687042878119</v>
      </c>
      <c r="F59" s="30">
        <f t="shared" si="31"/>
        <v>703.75411754834386</v>
      </c>
      <c r="G59" s="30">
        <f t="shared" si="31"/>
        <v>947.14510751012676</v>
      </c>
      <c r="H59" s="30">
        <f t="shared" si="31"/>
        <v>1613.3665587419036</v>
      </c>
      <c r="I59" s="30">
        <f t="shared" si="31"/>
        <v>1688.5705856057248</v>
      </c>
      <c r="J59" s="30">
        <f t="shared" si="31"/>
        <v>-355.38818315069329</v>
      </c>
      <c r="K59" s="30">
        <f t="shared" si="31"/>
        <v>1073.3851296664707</v>
      </c>
      <c r="L59" s="30">
        <f t="shared" si="31"/>
        <v>961.22963716065715</v>
      </c>
      <c r="M59" s="30">
        <f t="shared" si="31"/>
        <v>856.47592294344031</v>
      </c>
    </row>
    <row r="60" spans="1:13" ht="18" customHeight="1">
      <c r="A60" s="29" t="s">
        <v>57</v>
      </c>
      <c r="B60" s="30">
        <f t="shared" ref="B60:M60" si="32">B10-(B49-B52)</f>
        <v>2194.8015933614588</v>
      </c>
      <c r="C60" s="30">
        <f t="shared" si="32"/>
        <v>2991.7095888657332</v>
      </c>
      <c r="D60" s="30">
        <f t="shared" si="32"/>
        <v>2846.1896380147455</v>
      </c>
      <c r="E60" s="30">
        <f t="shared" si="32"/>
        <v>2780.2289682891496</v>
      </c>
      <c r="F60" s="30">
        <f t="shared" si="32"/>
        <v>2931.7244707527561</v>
      </c>
      <c r="G60" s="30">
        <f t="shared" si="32"/>
        <v>3026.9696634465563</v>
      </c>
      <c r="H60" s="30">
        <f t="shared" si="32"/>
        <v>3196.5360777058249</v>
      </c>
      <c r="I60" s="30">
        <f t="shared" si="32"/>
        <v>3035.3801519892731</v>
      </c>
      <c r="J60" s="30">
        <f t="shared" si="32"/>
        <v>1291.4408878341601</v>
      </c>
      <c r="K60" s="30">
        <f t="shared" si="32"/>
        <v>2776.1244391518267</v>
      </c>
      <c r="L60" s="30">
        <f t="shared" si="32"/>
        <v>2800.4804783644158</v>
      </c>
      <c r="M60" s="30">
        <f t="shared" si="32"/>
        <v>3035.7986026740509</v>
      </c>
    </row>
    <row r="61" spans="1:13" ht="18" customHeight="1">
      <c r="A61" s="29" t="s">
        <v>58</v>
      </c>
      <c r="B61" s="31">
        <f t="shared" ref="B61:M61" si="33">B10-B49</f>
        <v>-1657.1813794634309</v>
      </c>
      <c r="C61" s="31">
        <f t="shared" si="33"/>
        <v>46.560735040189684</v>
      </c>
      <c r="D61" s="31">
        <f t="shared" si="33"/>
        <v>-176.50430192411477</v>
      </c>
      <c r="E61" s="31">
        <f t="shared" si="33"/>
        <v>-112.40755033671303</v>
      </c>
      <c r="F61" s="31">
        <f t="shared" si="33"/>
        <v>-75.001915694423587</v>
      </c>
      <c r="G61" s="31">
        <f t="shared" si="33"/>
        <v>183.49272358990311</v>
      </c>
      <c r="H61" s="31">
        <f t="shared" si="33"/>
        <v>507.60707678075596</v>
      </c>
      <c r="I61" s="31">
        <f t="shared" si="33"/>
        <v>390.35176575771402</v>
      </c>
      <c r="J61" s="31">
        <f t="shared" si="33"/>
        <v>-1140.3475535701818</v>
      </c>
      <c r="K61" s="31">
        <f t="shared" si="33"/>
        <v>322.43663853948601</v>
      </c>
      <c r="L61" s="31">
        <f t="shared" si="33"/>
        <v>136.99862031551856</v>
      </c>
      <c r="M61" s="31">
        <f t="shared" si="33"/>
        <v>20.530923436954254</v>
      </c>
    </row>
    <row r="62" spans="1:13">
      <c r="A62" s="28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13">
      <c r="A63" s="10" t="s">
        <v>59</v>
      </c>
      <c r="B63" s="32" t="s">
        <v>60</v>
      </c>
      <c r="C63" s="32" t="s">
        <v>60</v>
      </c>
      <c r="D63" s="32" t="s">
        <v>60</v>
      </c>
      <c r="E63" s="32" t="s">
        <v>60</v>
      </c>
      <c r="F63" s="32" t="s">
        <v>60</v>
      </c>
      <c r="G63" s="32" t="s">
        <v>60</v>
      </c>
      <c r="H63" s="32" t="s">
        <v>60</v>
      </c>
      <c r="I63" s="32" t="s">
        <v>60</v>
      </c>
      <c r="J63" s="32" t="s">
        <v>60</v>
      </c>
      <c r="K63" s="32" t="s">
        <v>60</v>
      </c>
      <c r="L63" s="32" t="s">
        <v>60</v>
      </c>
      <c r="M63" s="32" t="s">
        <v>60</v>
      </c>
    </row>
    <row r="64" spans="1:13">
      <c r="A64" s="10" t="s">
        <v>61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>
      <c r="A65" s="10" t="s">
        <v>62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>
      <c r="A66" s="10" t="s">
        <v>63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>
      <c r="A67" s="10" t="s">
        <v>64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1:13">
      <c r="A68" s="10" t="s">
        <v>65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>
      <c r="A69" s="10" t="s">
        <v>66</v>
      </c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>
      <c r="A70" s="10" t="s">
        <v>67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1:13">
      <c r="A71" s="28" t="s">
        <v>68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</row>
    <row r="72" spans="1:13">
      <c r="A72" s="28" t="s">
        <v>69</v>
      </c>
      <c r="B72" s="32" t="s">
        <v>60</v>
      </c>
      <c r="C72" s="32" t="s">
        <v>60</v>
      </c>
      <c r="D72" s="32" t="s">
        <v>60</v>
      </c>
      <c r="E72" s="32" t="s">
        <v>60</v>
      </c>
      <c r="F72" s="32" t="s">
        <v>60</v>
      </c>
      <c r="G72" s="32" t="s">
        <v>60</v>
      </c>
      <c r="H72" s="32" t="s">
        <v>60</v>
      </c>
      <c r="I72" s="32" t="s">
        <v>60</v>
      </c>
      <c r="J72" s="32" t="s">
        <v>60</v>
      </c>
      <c r="K72" s="32" t="s">
        <v>60</v>
      </c>
      <c r="L72" s="32" t="s">
        <v>60</v>
      </c>
      <c r="M72" s="32" t="s">
        <v>60</v>
      </c>
    </row>
    <row r="73" spans="1:13">
      <c r="A73" s="28" t="s">
        <v>63</v>
      </c>
      <c r="B73" s="32" t="s">
        <v>60</v>
      </c>
      <c r="C73" s="32" t="s">
        <v>60</v>
      </c>
      <c r="D73" s="32" t="s">
        <v>60</v>
      </c>
      <c r="E73" s="32" t="s">
        <v>60</v>
      </c>
      <c r="F73" s="32" t="s">
        <v>60</v>
      </c>
      <c r="G73" s="32" t="s">
        <v>60</v>
      </c>
      <c r="H73" s="32" t="s">
        <v>60</v>
      </c>
      <c r="I73" s="32" t="s">
        <v>60</v>
      </c>
      <c r="J73" s="32" t="s">
        <v>60</v>
      </c>
      <c r="K73" s="32" t="s">
        <v>60</v>
      </c>
      <c r="L73" s="32" t="s">
        <v>60</v>
      </c>
      <c r="M73" s="32" t="s">
        <v>60</v>
      </c>
    </row>
    <row r="74" spans="1:13">
      <c r="A74" s="28" t="s">
        <v>70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3">
      <c r="A75" s="28" t="s">
        <v>71</v>
      </c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>
      <c r="A76" s="28" t="s">
        <v>72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>
      <c r="A77" s="28" t="s">
        <v>73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ht="13.5" thickBot="1">
      <c r="A78" s="33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>
      <c r="A79" s="35" t="s">
        <v>74</v>
      </c>
    </row>
    <row r="80" spans="1:13">
      <c r="A80" s="20" t="s">
        <v>75</v>
      </c>
    </row>
    <row r="81" spans="1:14">
      <c r="A81" s="20" t="s">
        <v>76</v>
      </c>
    </row>
    <row r="82" spans="1:14">
      <c r="A82" s="35" t="s">
        <v>81</v>
      </c>
    </row>
    <row r="83" spans="1:14">
      <c r="A83" s="20" t="s">
        <v>82</v>
      </c>
    </row>
    <row r="84" spans="1:14">
      <c r="A84" s="20" t="s">
        <v>84</v>
      </c>
    </row>
    <row r="85" spans="1:14">
      <c r="A85" s="20"/>
    </row>
    <row r="86" spans="1:14">
      <c r="A86" s="20"/>
    </row>
    <row r="88" spans="1:14">
      <c r="A88" s="3" t="s">
        <v>1</v>
      </c>
    </row>
    <row r="89" spans="1:14">
      <c r="A89" s="3" t="s">
        <v>2</v>
      </c>
    </row>
    <row r="90" spans="1:14" ht="15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4">
      <c r="A91" s="3" t="s">
        <v>77</v>
      </c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4" s="36" customFormat="1" ht="23.25" customHeight="1" thickBot="1">
      <c r="A92" s="7" t="s">
        <v>4</v>
      </c>
      <c r="B92" s="8" t="s">
        <v>5</v>
      </c>
      <c r="C92" s="8" t="s">
        <v>6</v>
      </c>
      <c r="D92" s="8" t="s">
        <v>7</v>
      </c>
      <c r="E92" s="8" t="s">
        <v>8</v>
      </c>
      <c r="F92" s="8" t="s">
        <v>9</v>
      </c>
      <c r="G92" s="8" t="s">
        <v>10</v>
      </c>
      <c r="H92" s="8" t="s">
        <v>11</v>
      </c>
      <c r="I92" s="8" t="s">
        <v>12</v>
      </c>
      <c r="J92" s="8" t="s">
        <v>13</v>
      </c>
      <c r="K92" s="8" t="s">
        <v>14</v>
      </c>
      <c r="L92" s="8" t="s">
        <v>15</v>
      </c>
      <c r="M92" s="8" t="s">
        <v>78</v>
      </c>
    </row>
    <row r="93" spans="1:1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4" s="38" customFormat="1">
      <c r="A94" s="10" t="s">
        <v>16</v>
      </c>
      <c r="B94" s="11">
        <f>SUM(B95,B129,B131)+0.07</f>
        <v>344668.45009999996</v>
      </c>
      <c r="C94" s="11">
        <f>SUM(C95,C129,C131)</f>
        <v>396979.45009999996</v>
      </c>
      <c r="D94" s="11">
        <f>SUM(D95,D129,D131)</f>
        <v>411716.13019999996</v>
      </c>
      <c r="E94" s="11">
        <f>SUM(E95,E129,E131)</f>
        <v>455835.80010000005</v>
      </c>
      <c r="F94" s="11">
        <f>SUM(F95,F129,F131)+0.05</f>
        <v>499879.85009999992</v>
      </c>
      <c r="G94" s="11">
        <f>SUM(G95,G129,G131)+0.07</f>
        <v>560773.54999999981</v>
      </c>
      <c r="H94" s="11">
        <f>SUM(H95,H129,H131)+0.1</f>
        <v>628985.19999999984</v>
      </c>
      <c r="I94" s="11">
        <f>SUM(I95,I129,I131)</f>
        <v>649759.22</v>
      </c>
      <c r="J94" s="11">
        <f>SUM(J95,J129,J131)</f>
        <v>575401.04999999993</v>
      </c>
      <c r="K94" s="11">
        <f>SUM(K95,K129,K131)</f>
        <v>716904.79999999993</v>
      </c>
      <c r="L94" s="11">
        <f>SUM(L95,L129,L131)</f>
        <v>827775.10419379117</v>
      </c>
      <c r="M94" s="11">
        <f>SUM(M95,M129,M131)</f>
        <v>925283.04043183674</v>
      </c>
      <c r="N94" s="37"/>
    </row>
    <row r="95" spans="1:14" s="38" customFormat="1">
      <c r="A95" s="12" t="s">
        <v>17</v>
      </c>
      <c r="B95" s="11">
        <f t="shared" ref="B95:M95" si="34">B96+B126+B127</f>
        <v>339712.18009999994</v>
      </c>
      <c r="C95" s="11">
        <f t="shared" si="34"/>
        <v>385892.55009999999</v>
      </c>
      <c r="D95" s="11">
        <f t="shared" si="34"/>
        <v>405189.23019999999</v>
      </c>
      <c r="E95" s="11">
        <f t="shared" si="34"/>
        <v>449719.70010000007</v>
      </c>
      <c r="F95" s="11">
        <f t="shared" si="34"/>
        <v>494018.40009999997</v>
      </c>
      <c r="G95" s="11">
        <f t="shared" si="34"/>
        <v>550271.97999999986</v>
      </c>
      <c r="H95" s="11">
        <f t="shared" si="34"/>
        <v>615906.39999999991</v>
      </c>
      <c r="I95" s="11">
        <f t="shared" si="34"/>
        <v>643902.22</v>
      </c>
      <c r="J95" s="11">
        <f t="shared" si="34"/>
        <v>567869.25</v>
      </c>
      <c r="K95" s="11">
        <f t="shared" si="34"/>
        <v>708337.89999999991</v>
      </c>
      <c r="L95" s="11">
        <f t="shared" si="34"/>
        <v>821434.5238393778</v>
      </c>
      <c r="M95" s="11">
        <f t="shared" si="34"/>
        <v>917150.16834079579</v>
      </c>
    </row>
    <row r="96" spans="1:14" s="20" customFormat="1">
      <c r="A96" s="13" t="s">
        <v>18</v>
      </c>
      <c r="B96" s="14">
        <f t="shared" ref="B96:E96" si="35">SUM(B97,B104,B105,B119,)</f>
        <v>319764.88009999995</v>
      </c>
      <c r="C96" s="14">
        <f t="shared" si="35"/>
        <v>343835.95010000002</v>
      </c>
      <c r="D96" s="14">
        <f t="shared" si="35"/>
        <v>370877.73009999999</v>
      </c>
      <c r="E96" s="14">
        <f t="shared" si="35"/>
        <v>411854.10010000004</v>
      </c>
      <c r="F96" s="14">
        <f>SUM(F97,F104,F105,F119,)</f>
        <v>458323.40009999997</v>
      </c>
      <c r="G96" s="14">
        <f>SUM(G97,G104,G105,G119)+0.04</f>
        <v>496894.5799999999</v>
      </c>
      <c r="H96" s="14">
        <f t="shared" ref="H96:M96" si="36">SUM(H97,H104,H105,H119)</f>
        <v>542919.39999999991</v>
      </c>
      <c r="I96" s="14">
        <f t="shared" si="36"/>
        <v>579397.02</v>
      </c>
      <c r="J96" s="14">
        <f t="shared" si="36"/>
        <v>505686.65</v>
      </c>
      <c r="K96" s="14">
        <f t="shared" si="36"/>
        <v>613048.19999999995</v>
      </c>
      <c r="L96" s="14">
        <f t="shared" si="36"/>
        <v>752841.08440893202</v>
      </c>
      <c r="M96" s="14">
        <f t="shared" si="36"/>
        <v>831573.91613204102</v>
      </c>
    </row>
    <row r="97" spans="1:13" s="20" customFormat="1">
      <c r="A97" s="15" t="s">
        <v>19</v>
      </c>
      <c r="B97" s="14">
        <f>SUM(B98:B103)-0.06</f>
        <v>115877.04009999998</v>
      </c>
      <c r="C97" s="14">
        <f>SUM(C98:C103)+0.07</f>
        <v>112647.87010000001</v>
      </c>
      <c r="D97" s="14">
        <f>SUM(D98:D103)</f>
        <v>120854.10010000001</v>
      </c>
      <c r="E97" s="14">
        <f t="shared" ref="E97" si="37">SUM(E98:E103)</f>
        <v>130759.80010000001</v>
      </c>
      <c r="F97" s="14">
        <f>SUM(F98:F103)+0.06</f>
        <v>136024.56009999997</v>
      </c>
      <c r="G97" s="14">
        <f>SUM(G98:G103)+0.05</f>
        <v>131111.34999999998</v>
      </c>
      <c r="H97" s="14">
        <f>SUM(H98:H103)+0.1</f>
        <v>143519.1</v>
      </c>
      <c r="I97" s="14">
        <f>SUM(I98:I103)</f>
        <v>159726.06</v>
      </c>
      <c r="J97" s="14">
        <f>SUM(J98:J103)</f>
        <v>161429.37</v>
      </c>
      <c r="K97" s="14">
        <f>SUM(K98:K103)</f>
        <v>178892</v>
      </c>
      <c r="L97" s="14">
        <f>SUM(L98:L103)</f>
        <v>235812.45441910002</v>
      </c>
      <c r="M97" s="14">
        <f>SUM(M98:M103)</f>
        <v>274142.06569900003</v>
      </c>
    </row>
    <row r="98" spans="1:13" s="20" customFormat="1">
      <c r="A98" s="19" t="s">
        <v>20</v>
      </c>
      <c r="B98" s="21">
        <v>1E-4</v>
      </c>
      <c r="C98" s="21">
        <v>1E-4</v>
      </c>
      <c r="D98" s="21">
        <v>1E-4</v>
      </c>
      <c r="E98" s="21">
        <v>1E-4</v>
      </c>
      <c r="F98" s="21">
        <v>1E-4</v>
      </c>
      <c r="G98" s="21">
        <v>0</v>
      </c>
      <c r="H98" s="21">
        <v>0</v>
      </c>
      <c r="I98" s="21">
        <v>0</v>
      </c>
      <c r="J98" s="21">
        <v>0</v>
      </c>
      <c r="K98" s="21"/>
      <c r="L98" s="21"/>
      <c r="M98" s="21"/>
    </row>
    <row r="99" spans="1:13" s="20" customFormat="1">
      <c r="A99" s="19" t="s">
        <v>21</v>
      </c>
      <c r="B99" s="21">
        <v>35798.1</v>
      </c>
      <c r="C99" s="21">
        <v>35154.800000000003</v>
      </c>
      <c r="D99" s="21">
        <v>35902.800000000003</v>
      </c>
      <c r="E99" s="21">
        <v>42282.1</v>
      </c>
      <c r="F99" s="21">
        <v>51791.199999999997</v>
      </c>
      <c r="G99" s="21">
        <v>61507.5</v>
      </c>
      <c r="H99" s="21">
        <v>61323.1</v>
      </c>
      <c r="I99" s="21">
        <f>68282.8+0.03</f>
        <v>68282.83</v>
      </c>
      <c r="J99" s="21">
        <f>66049.2+0.03</f>
        <v>66049.23</v>
      </c>
      <c r="K99" s="21">
        <v>74147.100000000006</v>
      </c>
      <c r="L99" s="21">
        <v>92444.513313169999</v>
      </c>
      <c r="M99" s="21">
        <v>93150.804573000001</v>
      </c>
    </row>
    <row r="100" spans="1:13" s="20" customFormat="1">
      <c r="A100" s="19" t="s">
        <v>22</v>
      </c>
      <c r="B100" s="21">
        <v>60876.2</v>
      </c>
      <c r="C100" s="21">
        <v>62810.8</v>
      </c>
      <c r="D100" s="21">
        <v>67818.2</v>
      </c>
      <c r="E100" s="21">
        <v>71966.3</v>
      </c>
      <c r="F100" s="21">
        <v>64955</v>
      </c>
      <c r="G100" s="21">
        <v>53662.2</v>
      </c>
      <c r="H100" s="21">
        <v>58037.3</v>
      </c>
      <c r="I100" s="21">
        <f>66670.1+0.03</f>
        <v>66670.13</v>
      </c>
      <c r="J100" s="21">
        <f>67956.8+0.04</f>
        <v>67956.84</v>
      </c>
      <c r="K100" s="21">
        <v>75373.600000000006</v>
      </c>
      <c r="L100" s="21">
        <v>107456.15317076001</v>
      </c>
      <c r="M100" s="21">
        <v>134619.920694</v>
      </c>
    </row>
    <row r="101" spans="1:13" s="20" customFormat="1">
      <c r="A101" s="19" t="s">
        <v>23</v>
      </c>
      <c r="B101" s="21">
        <v>1664.2</v>
      </c>
      <c r="C101" s="21">
        <v>1687.5</v>
      </c>
      <c r="D101" s="21">
        <v>1537.5</v>
      </c>
      <c r="E101" s="21">
        <v>1014.6</v>
      </c>
      <c r="F101" s="21">
        <v>1560.7</v>
      </c>
      <c r="G101" s="21">
        <v>1912.2</v>
      </c>
      <c r="H101" s="21">
        <v>2205.6999999999998</v>
      </c>
      <c r="I101" s="21">
        <v>2249.4</v>
      </c>
      <c r="J101" s="21">
        <v>2881.2</v>
      </c>
      <c r="K101" s="21">
        <v>2596.3000000000002</v>
      </c>
      <c r="L101" s="21">
        <v>3001.5186820000004</v>
      </c>
      <c r="M101" s="21">
        <v>3182.2250750000003</v>
      </c>
    </row>
    <row r="102" spans="1:13" s="20" customFormat="1">
      <c r="A102" s="19" t="s">
        <v>24</v>
      </c>
      <c r="B102" s="21">
        <v>4022.4</v>
      </c>
      <c r="C102" s="21">
        <v>4162.2</v>
      </c>
      <c r="D102" s="21">
        <v>4245.5</v>
      </c>
      <c r="E102" s="21">
        <v>4549.1000000000004</v>
      </c>
      <c r="F102" s="21">
        <v>5188.8</v>
      </c>
      <c r="G102" s="21">
        <v>5304</v>
      </c>
      <c r="H102" s="21">
        <v>5164.8999999999996</v>
      </c>
      <c r="I102" s="21">
        <v>5827.9</v>
      </c>
      <c r="J102" s="21">
        <v>5083.8</v>
      </c>
      <c r="K102" s="21">
        <v>6131.7</v>
      </c>
      <c r="L102" s="21">
        <v>7264.8464376599995</v>
      </c>
      <c r="M102" s="21">
        <v>7926.1441890000006</v>
      </c>
    </row>
    <row r="103" spans="1:13" s="20" customFormat="1">
      <c r="A103" s="19" t="s">
        <v>25</v>
      </c>
      <c r="B103" s="21">
        <v>13516.2</v>
      </c>
      <c r="C103" s="21">
        <v>8832.5</v>
      </c>
      <c r="D103" s="21">
        <v>11350.1</v>
      </c>
      <c r="E103" s="21">
        <v>10947.7</v>
      </c>
      <c r="F103" s="21">
        <v>12528.8</v>
      </c>
      <c r="G103" s="21">
        <v>8725.4</v>
      </c>
      <c r="H103" s="21">
        <v>16788</v>
      </c>
      <c r="I103" s="21">
        <v>16695.8</v>
      </c>
      <c r="J103" s="21">
        <v>19458.3</v>
      </c>
      <c r="K103" s="21">
        <v>20643.3</v>
      </c>
      <c r="L103" s="21">
        <v>25645.422815509999</v>
      </c>
      <c r="M103" s="21">
        <v>35262.971167999996</v>
      </c>
    </row>
    <row r="104" spans="1:13" s="20" customFormat="1">
      <c r="A104" s="15" t="s">
        <v>26</v>
      </c>
      <c r="B104" s="14">
        <v>2122.1</v>
      </c>
      <c r="C104" s="14">
        <v>2084.1999999999998</v>
      </c>
      <c r="D104" s="14">
        <v>2364.5</v>
      </c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1:13" s="20" customFormat="1">
      <c r="A105" s="15" t="s">
        <v>27</v>
      </c>
      <c r="B105" s="14">
        <f>SUM(B107:B118)-0.16</f>
        <v>96459.94</v>
      </c>
      <c r="C105" s="14">
        <f>SUM(C107:C118)+0.08</f>
        <v>115212.08000000002</v>
      </c>
      <c r="D105" s="14">
        <f>SUM(D106:D118)</f>
        <v>120421.40000000001</v>
      </c>
      <c r="E105" s="14">
        <f>SUM(E106:E118)</f>
        <v>133792.5</v>
      </c>
      <c r="F105" s="14">
        <f>SUM(F106:F118)-0.06</f>
        <v>148313.94</v>
      </c>
      <c r="G105" s="14">
        <f>SUM(G106:G118)-0.06</f>
        <v>175895.24</v>
      </c>
      <c r="H105" s="14">
        <f t="shared" ref="H105:M105" si="38">SUM(H106:H118)</f>
        <v>191452.69999999998</v>
      </c>
      <c r="I105" s="14">
        <f t="shared" si="38"/>
        <v>201343.06</v>
      </c>
      <c r="J105" s="14">
        <f t="shared" si="38"/>
        <v>172675.94</v>
      </c>
      <c r="K105" s="14">
        <f t="shared" si="38"/>
        <v>196925.7</v>
      </c>
      <c r="L105" s="14">
        <f t="shared" si="38"/>
        <v>232701.95795085002</v>
      </c>
      <c r="M105" s="14">
        <f t="shared" si="38"/>
        <v>262976.68182853097</v>
      </c>
    </row>
    <row r="106" spans="1:13" s="20" customFormat="1">
      <c r="A106" s="19" t="s">
        <v>28</v>
      </c>
      <c r="B106" s="16"/>
      <c r="C106" s="16"/>
      <c r="D106" s="21">
        <v>663.9</v>
      </c>
      <c r="E106" s="14">
        <v>561</v>
      </c>
      <c r="F106" s="14">
        <v>771.8</v>
      </c>
      <c r="G106" s="14">
        <v>973</v>
      </c>
      <c r="H106" s="14">
        <v>1081.0999999999999</v>
      </c>
      <c r="I106" s="14">
        <v>290.10000000000002</v>
      </c>
      <c r="J106" s="14">
        <v>128.30000000000001</v>
      </c>
      <c r="K106" s="14">
        <v>146.9</v>
      </c>
      <c r="L106" s="14">
        <v>122.36739300000001</v>
      </c>
      <c r="M106" s="14">
        <v>106.536967</v>
      </c>
    </row>
    <row r="107" spans="1:13" s="20" customFormat="1">
      <c r="A107" s="19" t="s">
        <v>29</v>
      </c>
      <c r="B107" s="21">
        <v>12457.4</v>
      </c>
      <c r="C107" s="21">
        <v>12313.6</v>
      </c>
      <c r="D107" s="21">
        <v>10072.1</v>
      </c>
      <c r="E107" s="21">
        <v>14028.2</v>
      </c>
      <c r="F107" s="21">
        <v>18230.8</v>
      </c>
      <c r="G107" s="21">
        <v>27888.7</v>
      </c>
      <c r="H107" s="21">
        <v>25904.799999999999</v>
      </c>
      <c r="I107" s="21">
        <v>30339.7</v>
      </c>
      <c r="J107" s="21">
        <v>26726.7</v>
      </c>
      <c r="K107" s="21">
        <v>25428.799999999999</v>
      </c>
      <c r="L107" s="14">
        <v>26166.146381540002</v>
      </c>
      <c r="M107" s="14">
        <v>24461.520634</v>
      </c>
    </row>
    <row r="108" spans="1:13" s="20" customFormat="1">
      <c r="A108" s="19" t="s">
        <v>26</v>
      </c>
      <c r="B108" s="17"/>
      <c r="C108" s="17"/>
      <c r="D108" s="17"/>
      <c r="E108" s="21">
        <v>235.1</v>
      </c>
      <c r="F108" s="21">
        <v>376.9</v>
      </c>
      <c r="G108" s="21">
        <v>501.1</v>
      </c>
      <c r="H108" s="21">
        <v>537.4</v>
      </c>
      <c r="I108" s="21">
        <v>616</v>
      </c>
      <c r="J108" s="21">
        <v>599.4</v>
      </c>
      <c r="K108" s="21">
        <v>620.6</v>
      </c>
      <c r="L108" s="14">
        <v>700.56328699999995</v>
      </c>
      <c r="M108" s="14">
        <v>829.51935200000003</v>
      </c>
    </row>
    <row r="109" spans="1:13" s="20" customFormat="1">
      <c r="A109" s="19" t="s">
        <v>30</v>
      </c>
      <c r="B109" s="21">
        <v>2184.1999999999998</v>
      </c>
      <c r="C109" s="21">
        <v>2595.6</v>
      </c>
      <c r="D109" s="21">
        <v>2663.4</v>
      </c>
      <c r="E109" s="21">
        <v>2946.7</v>
      </c>
      <c r="F109" s="21">
        <v>3199</v>
      </c>
      <c r="G109" s="21">
        <v>3963.9</v>
      </c>
      <c r="H109" s="21">
        <v>4574.3</v>
      </c>
      <c r="I109" s="21">
        <v>4746.1000000000004</v>
      </c>
      <c r="J109" s="21">
        <v>4548</v>
      </c>
      <c r="K109" s="21">
        <v>4962.5</v>
      </c>
      <c r="L109" s="14">
        <v>5273.6173390000004</v>
      </c>
      <c r="M109" s="14">
        <v>5220.8284599999997</v>
      </c>
    </row>
    <row r="110" spans="1:13" s="20" customFormat="1">
      <c r="A110" s="19" t="s">
        <v>31</v>
      </c>
      <c r="B110" s="21">
        <v>342.9</v>
      </c>
      <c r="C110" s="21">
        <v>360.5</v>
      </c>
      <c r="D110" s="21">
        <v>388.4</v>
      </c>
      <c r="E110" s="21">
        <v>445.2</v>
      </c>
      <c r="F110" s="21">
        <v>500.9</v>
      </c>
      <c r="G110" s="21">
        <v>1053.2</v>
      </c>
      <c r="H110" s="21">
        <v>1667</v>
      </c>
      <c r="I110" s="21">
        <v>2585.1999999999998</v>
      </c>
      <c r="J110" s="21">
        <v>2175.1999999999998</v>
      </c>
      <c r="K110" s="21">
        <v>4233.1000000000004</v>
      </c>
      <c r="L110" s="14">
        <v>2845.9785122100002</v>
      </c>
      <c r="M110" s="14">
        <v>1613.1638821773092</v>
      </c>
    </row>
    <row r="111" spans="1:13" s="20" customFormat="1">
      <c r="A111" s="19" t="s">
        <v>32</v>
      </c>
      <c r="B111" s="17"/>
      <c r="C111" s="17"/>
      <c r="D111" s="17"/>
      <c r="E111" s="17"/>
      <c r="F111" s="17"/>
      <c r="G111" s="21">
        <v>55.3</v>
      </c>
      <c r="H111" s="21">
        <v>68.900000000000006</v>
      </c>
      <c r="I111" s="21">
        <v>83</v>
      </c>
      <c r="J111" s="21">
        <v>95.7</v>
      </c>
      <c r="K111" s="21">
        <v>94.8</v>
      </c>
      <c r="L111" s="14">
        <v>105.12099599999999</v>
      </c>
      <c r="M111" s="14">
        <v>42.849812353716381</v>
      </c>
    </row>
    <row r="112" spans="1:13" s="20" customFormat="1">
      <c r="A112" s="19" t="s">
        <v>33</v>
      </c>
      <c r="B112" s="21">
        <v>1915.1</v>
      </c>
      <c r="C112" s="21">
        <v>2455.6</v>
      </c>
      <c r="D112" s="21">
        <v>2656.5</v>
      </c>
      <c r="E112" s="21">
        <v>2732.7</v>
      </c>
      <c r="F112" s="21">
        <v>2755.6</v>
      </c>
      <c r="G112" s="21">
        <v>3161.3</v>
      </c>
      <c r="H112" s="21">
        <v>5551.1</v>
      </c>
      <c r="I112" s="21">
        <v>6261</v>
      </c>
      <c r="J112" s="21">
        <v>6416.3</v>
      </c>
      <c r="K112" s="21">
        <v>7501.9</v>
      </c>
      <c r="L112" s="14">
        <v>8509.4346010900008</v>
      </c>
      <c r="M112" s="14">
        <v>8140.3643960000009</v>
      </c>
    </row>
    <row r="113" spans="1:13" s="20" customFormat="1">
      <c r="A113" s="19" t="s">
        <v>34</v>
      </c>
      <c r="B113" s="21">
        <v>610.29999999999995</v>
      </c>
      <c r="C113" s="21">
        <v>1717.8</v>
      </c>
      <c r="D113" s="21">
        <v>1999.1</v>
      </c>
      <c r="E113" s="21">
        <v>2059.1</v>
      </c>
      <c r="F113" s="21">
        <v>2353.8000000000002</v>
      </c>
      <c r="G113" s="21">
        <v>2619.3000000000002</v>
      </c>
      <c r="H113" s="21">
        <v>2742</v>
      </c>
      <c r="I113" s="21">
        <v>2917.4</v>
      </c>
      <c r="J113" s="21">
        <v>700.8</v>
      </c>
      <c r="K113" s="21">
        <v>2174</v>
      </c>
      <c r="L113" s="14">
        <v>3416.4409820000001</v>
      </c>
      <c r="M113" s="14">
        <v>3448.58637</v>
      </c>
    </row>
    <row r="114" spans="1:13" s="20" customFormat="1">
      <c r="A114" s="19" t="s">
        <v>35</v>
      </c>
      <c r="B114" s="21">
        <v>15038.7</v>
      </c>
      <c r="C114" s="21">
        <v>18103.900000000001</v>
      </c>
      <c r="D114" s="21">
        <v>19623.599999999999</v>
      </c>
      <c r="E114" s="21">
        <v>21244.799999999999</v>
      </c>
      <c r="F114" s="21">
        <v>23665</v>
      </c>
      <c r="G114" s="21">
        <v>26630.2</v>
      </c>
      <c r="H114" s="21">
        <v>29167.8</v>
      </c>
      <c r="I114" s="21">
        <f>32589.2+0.03</f>
        <v>32589.23</v>
      </c>
      <c r="J114" s="21">
        <f>29825.9-0.03</f>
        <v>29825.870000000003</v>
      </c>
      <c r="K114" s="21">
        <v>33343.699999999997</v>
      </c>
      <c r="L114" s="14">
        <v>41649.126361879993</v>
      </c>
      <c r="M114" s="14">
        <v>47739.846832999996</v>
      </c>
    </row>
    <row r="115" spans="1:13" s="20" customFormat="1">
      <c r="A115" s="19" t="s">
        <v>36</v>
      </c>
      <c r="B115" s="21">
        <v>3822.4</v>
      </c>
      <c r="C115" s="21">
        <v>6539.8</v>
      </c>
      <c r="D115" s="21">
        <v>6687.6</v>
      </c>
      <c r="E115" s="21">
        <v>5808.1</v>
      </c>
      <c r="F115" s="21">
        <v>4241.8999999999996</v>
      </c>
      <c r="G115" s="21">
        <v>3712.7</v>
      </c>
      <c r="H115" s="21">
        <v>3185.3</v>
      </c>
      <c r="I115" s="21">
        <v>3640.8</v>
      </c>
      <c r="J115" s="21">
        <v>3619.6</v>
      </c>
      <c r="K115" s="21">
        <v>3371.6</v>
      </c>
      <c r="L115" s="14">
        <v>3157.0681069999996</v>
      </c>
      <c r="M115" s="14">
        <v>2891.8065690000003</v>
      </c>
    </row>
    <row r="116" spans="1:13" s="20" customFormat="1">
      <c r="A116" s="19" t="s">
        <v>37</v>
      </c>
      <c r="B116" s="21">
        <v>1293.4000000000001</v>
      </c>
      <c r="C116" s="21">
        <v>991.5</v>
      </c>
      <c r="D116" s="21">
        <v>1013.9</v>
      </c>
      <c r="E116" s="21">
        <v>992.4</v>
      </c>
      <c r="F116" s="21">
        <v>1239.2</v>
      </c>
      <c r="G116" s="21">
        <v>1978.3</v>
      </c>
      <c r="H116" s="21">
        <v>2512.6</v>
      </c>
      <c r="I116" s="21">
        <v>2160.3000000000002</v>
      </c>
      <c r="J116" s="21">
        <v>1713.5</v>
      </c>
      <c r="K116" s="21">
        <v>2038.8</v>
      </c>
      <c r="L116" s="14">
        <v>2730.9362999999998</v>
      </c>
      <c r="M116" s="14">
        <v>2784.1687470000002</v>
      </c>
    </row>
    <row r="117" spans="1:13" s="20" customFormat="1">
      <c r="A117" s="19" t="s">
        <v>38</v>
      </c>
      <c r="B117" s="21">
        <v>50897.1</v>
      </c>
      <c r="C117" s="21">
        <v>61264.9</v>
      </c>
      <c r="D117" s="21">
        <v>63994.6</v>
      </c>
      <c r="E117" s="21">
        <v>72745.100000000006</v>
      </c>
      <c r="F117" s="21">
        <v>78174.7</v>
      </c>
      <c r="G117" s="21">
        <v>90817</v>
      </c>
      <c r="H117" s="21">
        <v>100695</v>
      </c>
      <c r="I117" s="21">
        <f>109303.8+0.03</f>
        <v>109303.83</v>
      </c>
      <c r="J117" s="21">
        <f>91191.6-0.03</f>
        <v>91191.57</v>
      </c>
      <c r="K117" s="21">
        <v>106764.2</v>
      </c>
      <c r="L117" s="14">
        <v>130570.5762889</v>
      </c>
      <c r="M117" s="14">
        <v>158818.85438999999</v>
      </c>
    </row>
    <row r="118" spans="1:13" s="20" customFormat="1">
      <c r="A118" s="19" t="s">
        <v>39</v>
      </c>
      <c r="B118" s="21">
        <v>7898.6</v>
      </c>
      <c r="C118" s="21">
        <v>8868.7999999999993</v>
      </c>
      <c r="D118" s="14">
        <v>10658.3</v>
      </c>
      <c r="E118" s="14">
        <v>9994.1</v>
      </c>
      <c r="F118" s="21">
        <v>12804.4</v>
      </c>
      <c r="G118" s="21">
        <v>12541.3</v>
      </c>
      <c r="H118" s="21">
        <v>13765.4</v>
      </c>
      <c r="I118" s="21">
        <v>5810.4</v>
      </c>
      <c r="J118" s="21">
        <v>4935</v>
      </c>
      <c r="K118" s="21">
        <v>6244.8</v>
      </c>
      <c r="L118" s="14">
        <v>7454.5814012299998</v>
      </c>
      <c r="M118" s="14">
        <v>6878.6354160000001</v>
      </c>
    </row>
    <row r="119" spans="1:13" s="20" customFormat="1">
      <c r="A119" s="15" t="s">
        <v>40</v>
      </c>
      <c r="B119" s="14">
        <f t="shared" ref="B119:C119" si="39">SUM(B120:B124)</f>
        <v>105305.79999999999</v>
      </c>
      <c r="C119" s="14">
        <f t="shared" si="39"/>
        <v>113891.79999999999</v>
      </c>
      <c r="D119" s="14">
        <f>SUM(D120:D124)-0.07</f>
        <v>127237.72999999998</v>
      </c>
      <c r="E119" s="14">
        <f>SUM(E120:E125)</f>
        <v>147301.80000000002</v>
      </c>
      <c r="F119" s="14">
        <f>SUM(F120:F125)</f>
        <v>173984.9</v>
      </c>
      <c r="G119" s="14">
        <f>SUM(G120:G125)+0.05</f>
        <v>189887.94999999998</v>
      </c>
      <c r="H119" s="14">
        <f t="shared" ref="H119:M119" si="40">SUM(H120:H125)</f>
        <v>207947.59999999998</v>
      </c>
      <c r="I119" s="14">
        <f t="shared" si="40"/>
        <v>218327.9</v>
      </c>
      <c r="J119" s="14">
        <f t="shared" si="40"/>
        <v>171581.34</v>
      </c>
      <c r="K119" s="14">
        <f t="shared" si="40"/>
        <v>237230.5</v>
      </c>
      <c r="L119" s="14">
        <f t="shared" si="40"/>
        <v>284326.67203898198</v>
      </c>
      <c r="M119" s="14">
        <f t="shared" si="40"/>
        <v>294455.16860451002</v>
      </c>
    </row>
    <row r="120" spans="1:13" s="20" customFormat="1">
      <c r="A120" s="19" t="s">
        <v>41</v>
      </c>
      <c r="B120" s="21">
        <v>24413.7</v>
      </c>
      <c r="C120" s="21">
        <v>25559</v>
      </c>
      <c r="D120" s="21">
        <v>26557.599999999999</v>
      </c>
      <c r="E120" s="21">
        <v>29521</v>
      </c>
      <c r="F120" s="21">
        <v>35581.199999999997</v>
      </c>
      <c r="G120" s="21">
        <v>38201.800000000003</v>
      </c>
      <c r="H120" s="21">
        <v>42500.2</v>
      </c>
      <c r="I120" s="21">
        <v>45352</v>
      </c>
      <c r="J120" s="21">
        <v>39982.5</v>
      </c>
      <c r="K120" s="21">
        <v>51757.8</v>
      </c>
      <c r="L120" s="21">
        <v>60855.553036860001</v>
      </c>
      <c r="M120" s="21">
        <v>62694.532175740009</v>
      </c>
    </row>
    <row r="121" spans="1:13" s="20" customFormat="1">
      <c r="A121" s="19" t="s">
        <v>39</v>
      </c>
      <c r="B121" s="21">
        <v>1672.2</v>
      </c>
      <c r="C121" s="21">
        <v>1945.6</v>
      </c>
      <c r="D121" s="21">
        <v>1884.9</v>
      </c>
      <c r="E121" s="21">
        <v>1971.2</v>
      </c>
      <c r="F121" s="21">
        <v>2260.1999999999998</v>
      </c>
      <c r="G121" s="21">
        <v>2429.6999999999998</v>
      </c>
      <c r="H121" s="21">
        <v>2879.1</v>
      </c>
      <c r="I121" s="21">
        <v>2891.6</v>
      </c>
      <c r="J121" s="21">
        <v>2015.5</v>
      </c>
      <c r="K121" s="21">
        <v>3058.7</v>
      </c>
      <c r="L121" s="21">
        <v>4397.5574747399996</v>
      </c>
      <c r="M121" s="21">
        <v>4058.5732078699998</v>
      </c>
    </row>
    <row r="122" spans="1:13" s="20" customFormat="1">
      <c r="A122" s="19" t="s">
        <v>42</v>
      </c>
      <c r="B122" s="21">
        <v>5396.6</v>
      </c>
      <c r="C122" s="21">
        <v>9187.1</v>
      </c>
      <c r="D122" s="21">
        <v>9692.1</v>
      </c>
      <c r="E122" s="21">
        <v>10150.799999999999</v>
      </c>
      <c r="F122" s="21">
        <v>14527.7</v>
      </c>
      <c r="G122" s="21">
        <v>19023</v>
      </c>
      <c r="H122" s="21">
        <v>20756.8</v>
      </c>
      <c r="I122" s="21">
        <v>21900.400000000001</v>
      </c>
      <c r="J122" s="21">
        <v>5379.8</v>
      </c>
      <c r="K122" s="21">
        <v>15710.8</v>
      </c>
      <c r="L122" s="21">
        <v>24686.574266610001</v>
      </c>
      <c r="M122" s="21">
        <v>28838.743966729995</v>
      </c>
    </row>
    <row r="123" spans="1:13" s="20" customFormat="1">
      <c r="A123" s="19" t="s">
        <v>43</v>
      </c>
      <c r="B123" s="21">
        <v>45501.2</v>
      </c>
      <c r="C123" s="21">
        <v>51237.5</v>
      </c>
      <c r="D123" s="21">
        <v>58470.8</v>
      </c>
      <c r="E123" s="21">
        <v>65806.2</v>
      </c>
      <c r="F123" s="21">
        <v>73734.600000000006</v>
      </c>
      <c r="G123" s="21">
        <v>78924.800000000003</v>
      </c>
      <c r="H123" s="21">
        <v>87202.3</v>
      </c>
      <c r="I123" s="21">
        <v>92497.5</v>
      </c>
      <c r="J123" s="21">
        <f>76073.9+0.04</f>
        <v>76073.939999999988</v>
      </c>
      <c r="K123" s="21">
        <v>101901.9</v>
      </c>
      <c r="L123" s="21">
        <v>117871.32895904001</v>
      </c>
      <c r="M123" s="21">
        <v>122315.71567299002</v>
      </c>
    </row>
    <row r="124" spans="1:13" s="20" customFormat="1">
      <c r="A124" s="19" t="s">
        <v>44</v>
      </c>
      <c r="B124" s="21">
        <v>28322.1</v>
      </c>
      <c r="C124" s="21">
        <v>25962.6</v>
      </c>
      <c r="D124" s="21">
        <v>30632.400000000001</v>
      </c>
      <c r="E124" s="21">
        <v>37257</v>
      </c>
      <c r="F124" s="21">
        <v>45085.1</v>
      </c>
      <c r="G124" s="21">
        <v>48235</v>
      </c>
      <c r="H124" s="21">
        <v>51164.7</v>
      </c>
      <c r="I124" s="21">
        <v>52168.3</v>
      </c>
      <c r="J124" s="21">
        <v>44678</v>
      </c>
      <c r="K124" s="21">
        <v>60132.4</v>
      </c>
      <c r="L124" s="21">
        <v>70707.006452490008</v>
      </c>
      <c r="M124" s="21">
        <v>71090.885034489998</v>
      </c>
    </row>
    <row r="125" spans="1:13" s="20" customFormat="1">
      <c r="A125" s="19" t="s">
        <v>26</v>
      </c>
      <c r="B125" s="17"/>
      <c r="C125" s="17"/>
      <c r="D125" s="17"/>
      <c r="E125" s="21">
        <v>2595.6</v>
      </c>
      <c r="F125" s="21">
        <v>2796.1</v>
      </c>
      <c r="G125" s="21">
        <v>3073.6</v>
      </c>
      <c r="H125" s="21">
        <v>3444.5</v>
      </c>
      <c r="I125" s="21">
        <v>3518.1</v>
      </c>
      <c r="J125" s="21">
        <v>3451.6</v>
      </c>
      <c r="K125" s="21">
        <v>4668.8999999999996</v>
      </c>
      <c r="L125" s="21">
        <v>5808.651849242</v>
      </c>
      <c r="M125" s="21">
        <v>5456.7185466900028</v>
      </c>
    </row>
    <row r="126" spans="1:13">
      <c r="A126" s="13" t="s">
        <v>79</v>
      </c>
      <c r="B126" s="22">
        <v>1163.7</v>
      </c>
      <c r="C126" s="22">
        <v>1009.5</v>
      </c>
      <c r="D126" s="22">
        <v>1E-4</v>
      </c>
      <c r="E126" s="22">
        <v>2116.9</v>
      </c>
      <c r="F126" s="22">
        <v>1940.9</v>
      </c>
      <c r="G126" s="22">
        <v>127.5</v>
      </c>
      <c r="H126" s="22">
        <v>136.5</v>
      </c>
      <c r="I126" s="22">
        <v>0</v>
      </c>
      <c r="J126" s="22">
        <v>0</v>
      </c>
      <c r="K126" s="22">
        <v>2461.6999999999998</v>
      </c>
      <c r="L126" s="22">
        <v>1266.0664734600002</v>
      </c>
      <c r="M126" s="22">
        <v>1795.4742370200001</v>
      </c>
    </row>
    <row r="127" spans="1:13" s="20" customFormat="1">
      <c r="A127" s="13" t="s">
        <v>46</v>
      </c>
      <c r="B127" s="22">
        <v>18783.599999999999</v>
      </c>
      <c r="C127" s="22">
        <v>41047.1</v>
      </c>
      <c r="D127" s="22">
        <v>34311.5</v>
      </c>
      <c r="E127" s="22">
        <v>35748.699999999997</v>
      </c>
      <c r="F127" s="22">
        <v>33754.1</v>
      </c>
      <c r="G127" s="22">
        <v>53249.9</v>
      </c>
      <c r="H127" s="22">
        <v>72850.5</v>
      </c>
      <c r="I127" s="22">
        <v>64505.2</v>
      </c>
      <c r="J127" s="22">
        <v>62182.6</v>
      </c>
      <c r="K127" s="22">
        <v>92828</v>
      </c>
      <c r="L127" s="22">
        <v>67327.372956985695</v>
      </c>
      <c r="M127" s="22">
        <v>83780.777971734802</v>
      </c>
    </row>
    <row r="128" spans="1:13">
      <c r="A128" s="23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4">
      <c r="A129" s="12" t="s">
        <v>47</v>
      </c>
      <c r="B129" s="25">
        <v>1015.7</v>
      </c>
      <c r="C129" s="25">
        <v>658.3</v>
      </c>
      <c r="D129" s="25">
        <v>1509.1</v>
      </c>
      <c r="E129" s="25">
        <v>652.6</v>
      </c>
      <c r="F129" s="25">
        <v>568.6</v>
      </c>
      <c r="G129" s="25">
        <v>4887.1000000000004</v>
      </c>
      <c r="H129" s="25">
        <v>2531.6999999999998</v>
      </c>
      <c r="I129" s="25">
        <v>1200.2</v>
      </c>
      <c r="J129" s="25">
        <v>352.1</v>
      </c>
      <c r="K129" s="25">
        <v>908.4</v>
      </c>
      <c r="L129" s="25">
        <v>0</v>
      </c>
      <c r="M129" s="25">
        <v>0</v>
      </c>
    </row>
    <row r="130" spans="1:14">
      <c r="A130" s="12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4">
      <c r="A131" s="12" t="s">
        <v>48</v>
      </c>
      <c r="B131" s="25">
        <v>3940.5</v>
      </c>
      <c r="C131" s="25">
        <v>10428.6</v>
      </c>
      <c r="D131" s="25">
        <v>5017.8</v>
      </c>
      <c r="E131" s="25">
        <v>5463.5</v>
      </c>
      <c r="F131" s="25">
        <v>5292.8</v>
      </c>
      <c r="G131" s="25">
        <v>5614.4</v>
      </c>
      <c r="H131" s="25">
        <v>10547</v>
      </c>
      <c r="I131" s="25">
        <v>4656.8</v>
      </c>
      <c r="J131" s="25">
        <v>7179.7</v>
      </c>
      <c r="K131" s="25">
        <v>7658.5</v>
      </c>
      <c r="L131" s="25">
        <v>6340.5803544134005</v>
      </c>
      <c r="M131" s="25">
        <v>8132.8720910409993</v>
      </c>
    </row>
    <row r="132" spans="1:14">
      <c r="A132" s="23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4">
      <c r="A133" s="10" t="s">
        <v>49</v>
      </c>
      <c r="B133" s="24">
        <f>SUM(B134,B139,B141)</f>
        <v>399278.9</v>
      </c>
      <c r="C133" s="24">
        <f>SUM(C134,C139,C141)+0.04</f>
        <v>395241.74</v>
      </c>
      <c r="D133" s="24">
        <f>SUM(D134,D139,D141)</f>
        <v>418986.88999999996</v>
      </c>
      <c r="E133" s="24">
        <f>SUM(E134,E139,E141)</f>
        <v>460719.7</v>
      </c>
      <c r="F133" s="24">
        <f>SUM(F134,F139,F141)</f>
        <v>503356.00000000006</v>
      </c>
      <c r="G133" s="24">
        <f>SUM(G134,G139,G141)</f>
        <v>552050.1</v>
      </c>
      <c r="H133" s="24">
        <f>SUM(H134,H139,H141)+0.1</f>
        <v>604597.50000000012</v>
      </c>
      <c r="I133" s="24">
        <f>SUM(I134,I139,I141)</f>
        <v>630354.4</v>
      </c>
      <c r="J133" s="24">
        <f>SUM(J134,J139,J141)</f>
        <v>635911.2699999999</v>
      </c>
      <c r="K133" s="24">
        <f>SUM(K134,K139,K141)</f>
        <v>698895.5</v>
      </c>
      <c r="L133" s="24">
        <f>SUM(L134,L139,L141)</f>
        <v>819988.99479743</v>
      </c>
      <c r="M133" s="24">
        <f>SUM(M134,M139,M141)</f>
        <v>924110.76906051987</v>
      </c>
      <c r="N133" s="39"/>
    </row>
    <row r="134" spans="1:14" s="38" customFormat="1">
      <c r="A134" s="12" t="s">
        <v>50</v>
      </c>
      <c r="B134" s="11">
        <f>SUM(B135:B137)</f>
        <v>361521</v>
      </c>
      <c r="C134" s="11">
        <f>SUM(C135:C137)</f>
        <v>358252.79999999999</v>
      </c>
      <c r="D134" s="11">
        <f>SUM(D135:D137)+0.09</f>
        <v>395967.79</v>
      </c>
      <c r="E134" s="11">
        <f t="shared" ref="E134:J134" si="41">SUM(E135:E137)</f>
        <v>427972.3</v>
      </c>
      <c r="F134" s="11">
        <f t="shared" si="41"/>
        <v>461400.70000000007</v>
      </c>
      <c r="G134" s="11">
        <f t="shared" si="41"/>
        <v>505244</v>
      </c>
      <c r="H134" s="11">
        <f t="shared" si="41"/>
        <v>538393.10000000009</v>
      </c>
      <c r="I134" s="11">
        <f t="shared" si="41"/>
        <v>559961.5</v>
      </c>
      <c r="J134" s="11">
        <f t="shared" si="41"/>
        <v>586727.19999999995</v>
      </c>
      <c r="K134" s="11">
        <f>SUM(K135:K137)</f>
        <v>648385.30000000005</v>
      </c>
      <c r="L134" s="11">
        <f>SUM(L135:L137)</f>
        <v>766804.49112283997</v>
      </c>
      <c r="M134" s="11">
        <f>SUM(M135:M137)</f>
        <v>868247.24355166988</v>
      </c>
    </row>
    <row r="135" spans="1:14">
      <c r="A135" s="26" t="s">
        <v>51</v>
      </c>
      <c r="B135" s="18">
        <v>147381.79999999999</v>
      </c>
      <c r="C135" s="18">
        <v>156361.60000000001</v>
      </c>
      <c r="D135" s="18">
        <v>158758.5</v>
      </c>
      <c r="E135" s="18">
        <v>168787.4</v>
      </c>
      <c r="F135" s="18">
        <v>179068.1</v>
      </c>
      <c r="G135" s="18">
        <v>193283.5</v>
      </c>
      <c r="H135" s="18">
        <v>200125.3</v>
      </c>
      <c r="I135" s="18">
        <v>211617.6</v>
      </c>
      <c r="J135" s="18">
        <v>222996.3</v>
      </c>
      <c r="K135" s="18">
        <v>241751.1</v>
      </c>
      <c r="L135" s="18">
        <v>338126.13200000004</v>
      </c>
      <c r="M135" s="18">
        <v>403618.17964364996</v>
      </c>
    </row>
    <row r="136" spans="1:14">
      <c r="A136" s="26" t="s">
        <v>52</v>
      </c>
      <c r="B136" s="18">
        <v>126937.7</v>
      </c>
      <c r="C136" s="18">
        <v>109919.5</v>
      </c>
      <c r="D136" s="18">
        <v>124512.6</v>
      </c>
      <c r="E136" s="18">
        <v>125679.7</v>
      </c>
      <c r="F136" s="18">
        <v>139356.20000000001</v>
      </c>
      <c r="G136" s="18">
        <v>135181</v>
      </c>
      <c r="H136" s="18">
        <v>129188.1</v>
      </c>
      <c r="I136" s="18">
        <v>131487.29999999999</v>
      </c>
      <c r="J136" s="18">
        <v>129037.9</v>
      </c>
      <c r="K136" s="18">
        <v>137047.70000000001</v>
      </c>
      <c r="L136" s="18">
        <v>151374.96329692996</v>
      </c>
      <c r="M136" s="18">
        <v>172165.27001722998</v>
      </c>
    </row>
    <row r="137" spans="1:14">
      <c r="A137" s="26" t="s">
        <v>53</v>
      </c>
      <c r="B137" s="18">
        <v>87201.5</v>
      </c>
      <c r="C137" s="18">
        <v>91971.7</v>
      </c>
      <c r="D137" s="18">
        <v>112696.6</v>
      </c>
      <c r="E137" s="18">
        <v>133505.20000000001</v>
      </c>
      <c r="F137" s="18">
        <v>142976.4</v>
      </c>
      <c r="G137" s="18">
        <v>176779.5</v>
      </c>
      <c r="H137" s="18">
        <v>209079.7</v>
      </c>
      <c r="I137" s="18">
        <v>216856.6</v>
      </c>
      <c r="J137" s="18">
        <v>234693</v>
      </c>
      <c r="K137" s="18">
        <v>269586.5</v>
      </c>
      <c r="L137" s="18">
        <v>277303.39582591003</v>
      </c>
      <c r="M137" s="18">
        <v>292463.79389079002</v>
      </c>
    </row>
    <row r="138" spans="1:14">
      <c r="A138" s="23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4">
      <c r="A139" s="12" t="s">
        <v>54</v>
      </c>
      <c r="B139" s="25">
        <v>37757.9</v>
      </c>
      <c r="C139" s="25">
        <v>36988.9</v>
      </c>
      <c r="D139" s="25">
        <v>23019.1</v>
      </c>
      <c r="E139" s="25">
        <v>32747.4</v>
      </c>
      <c r="F139" s="25">
        <v>41955.3</v>
      </c>
      <c r="G139" s="25">
        <v>46806.1</v>
      </c>
      <c r="H139" s="25">
        <v>66204.3</v>
      </c>
      <c r="I139" s="25">
        <v>70392.899999999994</v>
      </c>
      <c r="J139" s="25">
        <f>49184.1-0.03</f>
        <v>49184.07</v>
      </c>
      <c r="K139" s="25">
        <v>50510.2</v>
      </c>
      <c r="L139" s="25">
        <v>53184.50367459</v>
      </c>
      <c r="M139" s="25">
        <v>55863.525508849998</v>
      </c>
    </row>
    <row r="140" spans="1:14">
      <c r="A140" s="12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1:14">
      <c r="A141" s="12" t="s">
        <v>55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4">
      <c r="A142" s="28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4" s="38" customFormat="1" ht="18" customHeight="1">
      <c r="A143" s="29" t="s">
        <v>56</v>
      </c>
      <c r="B143" s="30">
        <f t="shared" ref="B143:M143" si="42">B95-B134</f>
        <v>-21808.81990000006</v>
      </c>
      <c r="C143" s="30">
        <f t="shared" si="42"/>
        <v>27639.750100000005</v>
      </c>
      <c r="D143" s="30">
        <f t="shared" si="42"/>
        <v>9221.4402000000118</v>
      </c>
      <c r="E143" s="30">
        <f t="shared" si="42"/>
        <v>21747.400100000086</v>
      </c>
      <c r="F143" s="30">
        <f t="shared" si="42"/>
        <v>32617.7000999999</v>
      </c>
      <c r="G143" s="30">
        <f t="shared" si="42"/>
        <v>45027.979999999865</v>
      </c>
      <c r="H143" s="30">
        <f t="shared" si="42"/>
        <v>77513.299999999814</v>
      </c>
      <c r="I143" s="30">
        <f t="shared" si="42"/>
        <v>83940.719999999972</v>
      </c>
      <c r="J143" s="30">
        <f t="shared" si="42"/>
        <v>-18857.949999999953</v>
      </c>
      <c r="K143" s="30">
        <f t="shared" si="42"/>
        <v>59952.59999999986</v>
      </c>
      <c r="L143" s="30">
        <f t="shared" si="42"/>
        <v>54630.032716537826</v>
      </c>
      <c r="M143" s="30">
        <f t="shared" si="42"/>
        <v>48902.924789125915</v>
      </c>
    </row>
    <row r="144" spans="1:14" s="38" customFormat="1" ht="18" customHeight="1">
      <c r="A144" s="29" t="s">
        <v>57</v>
      </c>
      <c r="B144" s="30">
        <f>B94-(B133-B136)-0.4</f>
        <v>72326.850099999952</v>
      </c>
      <c r="C144" s="30">
        <f t="shared" ref="C144:M144" si="43">C94-(C133-C136)</f>
        <v>111657.21009999997</v>
      </c>
      <c r="D144" s="30">
        <f t="shared" si="43"/>
        <v>117241.84020000004</v>
      </c>
      <c r="E144" s="30">
        <f t="shared" si="43"/>
        <v>120795.80010000005</v>
      </c>
      <c r="F144" s="30">
        <f t="shared" si="43"/>
        <v>135880.05009999988</v>
      </c>
      <c r="G144" s="30">
        <f t="shared" si="43"/>
        <v>143904.44999999984</v>
      </c>
      <c r="H144" s="30">
        <f t="shared" si="43"/>
        <v>153575.7999999997</v>
      </c>
      <c r="I144" s="30">
        <f t="shared" si="43"/>
        <v>150892.11999999994</v>
      </c>
      <c r="J144" s="30">
        <f t="shared" si="43"/>
        <v>68527.680000000051</v>
      </c>
      <c r="K144" s="30">
        <f t="shared" si="43"/>
        <v>155056.99999999988</v>
      </c>
      <c r="L144" s="30">
        <f t="shared" si="43"/>
        <v>159161.07269329112</v>
      </c>
      <c r="M144" s="30">
        <f t="shared" si="43"/>
        <v>173337.54138854682</v>
      </c>
    </row>
    <row r="145" spans="1:13" s="38" customFormat="1" ht="18" customHeight="1">
      <c r="A145" s="29" t="s">
        <v>80</v>
      </c>
      <c r="B145" s="31">
        <f>B94-B133-0.4</f>
        <v>-54610.849900000067</v>
      </c>
      <c r="C145" s="31">
        <f t="shared" ref="C145:H145" si="44">C94-C133</f>
        <v>1737.7100999999675</v>
      </c>
      <c r="D145" s="31">
        <f t="shared" si="44"/>
        <v>-7270.7597999999998</v>
      </c>
      <c r="E145" s="31">
        <f t="shared" si="44"/>
        <v>-4883.8998999999603</v>
      </c>
      <c r="F145" s="31">
        <f t="shared" si="44"/>
        <v>-3476.1499000001349</v>
      </c>
      <c r="G145" s="31">
        <f t="shared" si="44"/>
        <v>8723.449999999837</v>
      </c>
      <c r="H145" s="31">
        <f t="shared" si="44"/>
        <v>24387.699999999721</v>
      </c>
      <c r="I145" s="31">
        <f>I94-I133</f>
        <v>19404.819999999949</v>
      </c>
      <c r="J145" s="31">
        <f>J94-J133</f>
        <v>-60510.219999999972</v>
      </c>
      <c r="K145" s="31">
        <f>K94-K133</f>
        <v>18009.29999999993</v>
      </c>
      <c r="L145" s="31">
        <f>L94-L133</f>
        <v>7786.1093963611638</v>
      </c>
      <c r="M145" s="31">
        <f>M94-M133</f>
        <v>1172.2713713168632</v>
      </c>
    </row>
    <row r="146" spans="1:13">
      <c r="A146" s="28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</row>
    <row r="147" spans="1:13" s="38" customFormat="1">
      <c r="A147" s="10" t="s">
        <v>59</v>
      </c>
      <c r="B147" s="32" t="s">
        <v>60</v>
      </c>
      <c r="C147" s="32" t="s">
        <v>60</v>
      </c>
      <c r="D147" s="32" t="s">
        <v>60</v>
      </c>
      <c r="E147" s="32" t="s">
        <v>60</v>
      </c>
      <c r="F147" s="32" t="s">
        <v>60</v>
      </c>
      <c r="G147" s="40">
        <f t="shared" ref="G147:M147" si="45">G148+G155+G160+G161</f>
        <v>-8723.4203984650339</v>
      </c>
      <c r="H147" s="40">
        <f t="shared" si="45"/>
        <v>-24387.722926237962</v>
      </c>
      <c r="I147" s="40">
        <f t="shared" si="45"/>
        <v>-19404.760432235271</v>
      </c>
      <c r="J147" s="40">
        <f t="shared" si="45"/>
        <v>60510.226463556173</v>
      </c>
      <c r="K147" s="40">
        <f t="shared" si="45"/>
        <v>-18009.299999999923</v>
      </c>
      <c r="L147" s="40">
        <f t="shared" si="45"/>
        <v>-7786.1093963611729</v>
      </c>
      <c r="M147" s="40">
        <f t="shared" si="45"/>
        <v>-1172.2751674968276</v>
      </c>
    </row>
    <row r="148" spans="1:13" s="38" customFormat="1">
      <c r="A148" s="10" t="s">
        <v>61</v>
      </c>
      <c r="B148" s="32"/>
      <c r="C148" s="32"/>
      <c r="D148" s="32"/>
      <c r="E148" s="32"/>
      <c r="F148" s="32"/>
      <c r="G148" s="41">
        <f>SUM(G149:G154)</f>
        <v>-76439.233055130811</v>
      </c>
      <c r="H148" s="41">
        <f t="shared" ref="H148:M148" si="46">SUM(H149:H154)</f>
        <v>-1887.9212958737626</v>
      </c>
      <c r="I148" s="41">
        <f t="shared" si="46"/>
        <v>-38161.918828699389</v>
      </c>
      <c r="J148" s="41">
        <f t="shared" si="46"/>
        <v>84614.039511913303</v>
      </c>
      <c r="K148" s="41">
        <f t="shared" si="46"/>
        <v>11611.303676778378</v>
      </c>
      <c r="L148" s="41">
        <f t="shared" si="46"/>
        <v>10563.958500231645</v>
      </c>
      <c r="M148" s="41">
        <f t="shared" si="46"/>
        <v>-37494.45040287466</v>
      </c>
    </row>
    <row r="149" spans="1:13" s="38" customFormat="1">
      <c r="A149" s="28" t="s">
        <v>62</v>
      </c>
      <c r="B149" s="32"/>
      <c r="C149" s="32"/>
      <c r="D149" s="32"/>
      <c r="E149" s="32"/>
      <c r="F149" s="32"/>
      <c r="G149" s="41">
        <v>0</v>
      </c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</row>
    <row r="150" spans="1:13" s="38" customFormat="1">
      <c r="A150" s="28" t="s">
        <v>63</v>
      </c>
      <c r="B150" s="32"/>
      <c r="C150" s="32"/>
      <c r="D150" s="32"/>
      <c r="E150" s="32"/>
      <c r="F150" s="32"/>
      <c r="G150" s="41">
        <v>51129.888297820005</v>
      </c>
      <c r="H150" s="41">
        <v>56005.172082959994</v>
      </c>
      <c r="I150" s="41">
        <v>53613.990525949994</v>
      </c>
      <c r="J150" s="41">
        <v>143789.18200022</v>
      </c>
      <c r="K150" s="41">
        <v>53652.708960720003</v>
      </c>
      <c r="L150" s="41">
        <v>75761.411076600009</v>
      </c>
      <c r="M150" s="41">
        <v>36276.333097520001</v>
      </c>
    </row>
    <row r="151" spans="1:13" s="38" customFormat="1">
      <c r="A151" s="28" t="s">
        <v>64</v>
      </c>
      <c r="B151" s="32"/>
      <c r="C151" s="32"/>
      <c r="D151" s="32"/>
      <c r="E151" s="32"/>
      <c r="F151" s="32"/>
      <c r="G151" s="41">
        <v>21764.24367634</v>
      </c>
      <c r="H151" s="41">
        <v>20547.993768789998</v>
      </c>
      <c r="I151" s="41">
        <v>21364.702765729999</v>
      </c>
      <c r="J151" s="41">
        <v>22303.624766859997</v>
      </c>
      <c r="K151" s="41">
        <v>22180.157040710004</v>
      </c>
      <c r="L151" s="41">
        <v>20754.950277380001</v>
      </c>
      <c r="M151" s="41">
        <v>21700.72201293</v>
      </c>
    </row>
    <row r="152" spans="1:13" s="38" customFormat="1">
      <c r="A152" s="28" t="s">
        <v>65</v>
      </c>
      <c r="B152" s="32"/>
      <c r="C152" s="32"/>
      <c r="D152" s="32"/>
      <c r="E152" s="32"/>
      <c r="F152" s="32"/>
      <c r="G152" s="41">
        <v>0</v>
      </c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</row>
    <row r="153" spans="1:13" s="38" customFormat="1">
      <c r="A153" s="28" t="s">
        <v>66</v>
      </c>
      <c r="B153" s="32"/>
      <c r="C153" s="32"/>
      <c r="D153" s="32"/>
      <c r="E153" s="32"/>
      <c r="F153" s="32"/>
      <c r="G153" s="41">
        <v>19294.252168889187</v>
      </c>
      <c r="H153" s="41">
        <v>1567.0587962562404</v>
      </c>
      <c r="I153" s="41">
        <v>-42659.97702675937</v>
      </c>
      <c r="J153" s="41">
        <v>31299.473626413324</v>
      </c>
      <c r="K153" s="41">
        <f>-K145-K155-(K149+K150+K151+K152+K154+K161+K160)</f>
        <v>8146.436169368355</v>
      </c>
      <c r="L153" s="41">
        <f>-L145-L155-(L149+L150+L151+L152+L154+L161+L160)</f>
        <v>29467.50820407163</v>
      </c>
      <c r="M153" s="41">
        <v>-73778.653389424668</v>
      </c>
    </row>
    <row r="154" spans="1:13" s="38" customFormat="1">
      <c r="A154" s="28" t="s">
        <v>67</v>
      </c>
      <c r="B154" s="32"/>
      <c r="C154" s="32"/>
      <c r="D154" s="32"/>
      <c r="E154" s="32"/>
      <c r="F154" s="32"/>
      <c r="G154" s="41">
        <v>-168627.61719818</v>
      </c>
      <c r="H154" s="41">
        <v>-80008.145943879994</v>
      </c>
      <c r="I154" s="41">
        <v>-70480.635093620003</v>
      </c>
      <c r="J154" s="41">
        <v>-112778.24088158</v>
      </c>
      <c r="K154" s="41">
        <v>-72367.998494019994</v>
      </c>
      <c r="L154" s="41">
        <v>-115419.91105781999</v>
      </c>
      <c r="M154" s="41">
        <v>-21692.8521239</v>
      </c>
    </row>
    <row r="155" spans="1:13">
      <c r="A155" s="10" t="s">
        <v>68</v>
      </c>
      <c r="B155" s="21"/>
      <c r="C155" s="21"/>
      <c r="D155" s="21"/>
      <c r="E155" s="21"/>
      <c r="F155" s="21"/>
      <c r="G155" s="41">
        <f>SUM(G156:G159)</f>
        <v>70576.387261322277</v>
      </c>
      <c r="H155" s="41">
        <f t="shared" ref="H155:M155" si="47">SUM(H156:H159)</f>
        <v>-15355.0212580761</v>
      </c>
      <c r="I155" s="41">
        <f t="shared" si="47"/>
        <v>-47484.516507780711</v>
      </c>
      <c r="J155" s="41">
        <f t="shared" si="47"/>
        <v>9524.6830437154858</v>
      </c>
      <c r="K155" s="41">
        <f t="shared" si="47"/>
        <v>-13620.7043652094</v>
      </c>
      <c r="L155" s="41">
        <f t="shared" si="47"/>
        <v>-24433.592820858601</v>
      </c>
      <c r="M155" s="41">
        <f t="shared" si="47"/>
        <v>26032.751686687508</v>
      </c>
    </row>
    <row r="156" spans="1:13">
      <c r="A156" s="28" t="s">
        <v>69</v>
      </c>
      <c r="B156" s="32" t="s">
        <v>60</v>
      </c>
      <c r="C156" s="32" t="s">
        <v>60</v>
      </c>
      <c r="D156" s="32" t="s">
        <v>60</v>
      </c>
      <c r="E156" s="32" t="s">
        <v>60</v>
      </c>
      <c r="F156" s="32" t="s">
        <v>60</v>
      </c>
      <c r="G156" s="41">
        <v>18052.288585192298</v>
      </c>
      <c r="H156" s="41">
        <v>24249.5438194339</v>
      </c>
      <c r="I156" s="41">
        <v>21073.364696067303</v>
      </c>
      <c r="J156" s="41">
        <v>15309.597648095485</v>
      </c>
      <c r="K156" s="41">
        <v>25878.331628610602</v>
      </c>
      <c r="L156" s="41">
        <v>21777.151008221397</v>
      </c>
      <c r="M156" s="41">
        <v>14439.042969847496</v>
      </c>
    </row>
    <row r="157" spans="1:13">
      <c r="A157" s="28" t="s">
        <v>63</v>
      </c>
      <c r="B157" s="32" t="s">
        <v>60</v>
      </c>
      <c r="C157" s="32" t="s">
        <v>60</v>
      </c>
      <c r="D157" s="32" t="s">
        <v>60</v>
      </c>
      <c r="E157" s="32" t="s">
        <v>60</v>
      </c>
      <c r="F157" s="32" t="s">
        <v>60</v>
      </c>
      <c r="G157" s="41">
        <v>107225.13058872</v>
      </c>
      <c r="H157" s="41">
        <v>0</v>
      </c>
      <c r="I157" s="41">
        <v>20508.349181112</v>
      </c>
      <c r="J157" s="41">
        <v>0</v>
      </c>
      <c r="K157" s="41">
        <v>0</v>
      </c>
      <c r="L157" s="41">
        <v>0</v>
      </c>
      <c r="M157" s="41">
        <v>0</v>
      </c>
    </row>
    <row r="158" spans="1:13">
      <c r="A158" s="28" t="s">
        <v>70</v>
      </c>
      <c r="B158" s="32"/>
      <c r="C158" s="32"/>
      <c r="D158" s="32"/>
      <c r="E158" s="32"/>
      <c r="F158" s="32"/>
      <c r="G158" s="41">
        <v>8961.3405000000002</v>
      </c>
      <c r="H158" s="41">
        <v>13377.4</v>
      </c>
      <c r="I158" s="41">
        <v>9499.6912500000017</v>
      </c>
      <c r="J158" s="41">
        <v>40522.387999999999</v>
      </c>
      <c r="K158" s="41">
        <v>47924.111825</v>
      </c>
      <c r="L158" s="41">
        <v>0</v>
      </c>
      <c r="M158" s="41">
        <v>127472.48144562</v>
      </c>
    </row>
    <row r="159" spans="1:13">
      <c r="A159" s="28" t="s">
        <v>71</v>
      </c>
      <c r="B159" s="32"/>
      <c r="C159" s="32"/>
      <c r="D159" s="32"/>
      <c r="E159" s="32"/>
      <c r="F159" s="32"/>
      <c r="G159" s="41">
        <v>-63662.372412590004</v>
      </c>
      <c r="H159" s="41">
        <v>-52981.965077510002</v>
      </c>
      <c r="I159" s="41">
        <v>-98565.921634960017</v>
      </c>
      <c r="J159" s="41">
        <v>-46307.302604379998</v>
      </c>
      <c r="K159" s="41">
        <v>-87423.147818819998</v>
      </c>
      <c r="L159" s="41">
        <v>-46210.743829079998</v>
      </c>
      <c r="M159" s="41">
        <v>-115878.77272877998</v>
      </c>
    </row>
    <row r="160" spans="1:13">
      <c r="A160" s="10" t="s">
        <v>72</v>
      </c>
      <c r="B160" s="32"/>
      <c r="C160" s="32"/>
      <c r="D160" s="32"/>
      <c r="E160" s="32"/>
      <c r="F160" s="32"/>
      <c r="G160" s="41">
        <v>11400.064395343499</v>
      </c>
      <c r="H160" s="41">
        <v>27894.883178851902</v>
      </c>
      <c r="I160" s="41">
        <v>104174.87490424482</v>
      </c>
      <c r="J160" s="41">
        <v>3338.524587927388</v>
      </c>
      <c r="K160" s="41">
        <v>3267.9833120610983</v>
      </c>
      <c r="L160" s="41">
        <v>6083.5249242657828</v>
      </c>
      <c r="M160" s="41">
        <v>24208.721548690322</v>
      </c>
    </row>
    <row r="161" spans="1:13">
      <c r="A161" s="10" t="s">
        <v>73</v>
      </c>
      <c r="B161" s="32"/>
      <c r="C161" s="32"/>
      <c r="D161" s="32"/>
      <c r="E161" s="32"/>
      <c r="F161" s="32"/>
      <c r="G161" s="41">
        <v>-14260.638999999999</v>
      </c>
      <c r="H161" s="41">
        <v>-35039.663551140002</v>
      </c>
      <c r="I161" s="41">
        <v>-37933.199999999997</v>
      </c>
      <c r="J161" s="41">
        <v>-36967.020680000001</v>
      </c>
      <c r="K161" s="41">
        <v>-19267.882623630001</v>
      </c>
      <c r="L161" s="41">
        <v>0</v>
      </c>
      <c r="M161" s="41">
        <v>-13919.297999999999</v>
      </c>
    </row>
    <row r="162" spans="1:13" ht="13.5" thickBot="1">
      <c r="A162" s="33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1:13">
      <c r="A163" s="35" t="s">
        <v>74</v>
      </c>
    </row>
    <row r="164" spans="1:13">
      <c r="A164" s="20" t="s">
        <v>75</v>
      </c>
    </row>
    <row r="165" spans="1:13">
      <c r="A165" s="20" t="s">
        <v>76</v>
      </c>
    </row>
    <row r="166" spans="1:13">
      <c r="A166" s="35" t="s">
        <v>81</v>
      </c>
    </row>
    <row r="167" spans="1:13">
      <c r="A167" s="20" t="s">
        <v>82</v>
      </c>
    </row>
    <row r="168" spans="1:13">
      <c r="A168" s="20" t="s">
        <v>84</v>
      </c>
    </row>
    <row r="169" spans="1:13">
      <c r="A169" s="20"/>
    </row>
    <row r="172" spans="1:13">
      <c r="A172" s="3" t="s">
        <v>1</v>
      </c>
    </row>
    <row r="173" spans="1:13">
      <c r="A173" s="3" t="s">
        <v>2</v>
      </c>
    </row>
    <row r="174" spans="1:13" ht="15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3" t="s">
        <v>83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ht="23.25" customHeight="1" thickBot="1">
      <c r="A176" s="7" t="s">
        <v>4</v>
      </c>
      <c r="B176" s="8" t="s">
        <v>5</v>
      </c>
      <c r="C176" s="8" t="s">
        <v>6</v>
      </c>
      <c r="D176" s="8" t="s">
        <v>7</v>
      </c>
      <c r="E176" s="8" t="s">
        <v>8</v>
      </c>
      <c r="F176" s="8" t="s">
        <v>9</v>
      </c>
      <c r="G176" s="8" t="s">
        <v>10</v>
      </c>
      <c r="H176" s="8" t="s">
        <v>11</v>
      </c>
      <c r="I176" s="8" t="s">
        <v>12</v>
      </c>
      <c r="J176" s="8" t="s">
        <v>13</v>
      </c>
      <c r="K176" s="8" t="s">
        <v>14</v>
      </c>
      <c r="L176" s="8" t="s">
        <v>15</v>
      </c>
      <c r="M176" s="8" t="s">
        <v>15</v>
      </c>
    </row>
    <row r="177" spans="1:1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>
      <c r="A178" s="10" t="s">
        <v>16</v>
      </c>
      <c r="B178" s="11">
        <f t="shared" ref="B178:M178" si="48">SUM(B179,B213,B215)</f>
        <v>3873.7484241433722</v>
      </c>
      <c r="C178" s="11">
        <f t="shared" si="48"/>
        <v>3939.4606539644737</v>
      </c>
      <c r="D178" s="11">
        <f t="shared" si="48"/>
        <v>3701.8173907570576</v>
      </c>
      <c r="E178" s="11">
        <f t="shared" si="48"/>
        <v>3885.7369371750065</v>
      </c>
      <c r="F178" s="11">
        <f t="shared" si="48"/>
        <v>3994.5644885727979</v>
      </c>
      <c r="G178" s="11">
        <f t="shared" si="48"/>
        <v>4368.7556871299457</v>
      </c>
      <c r="H178" s="11">
        <f t="shared" si="48"/>
        <v>4848.7904717853844</v>
      </c>
      <c r="I178" s="11">
        <f t="shared" si="48"/>
        <v>4841.0014900908964</v>
      </c>
      <c r="J178" s="11">
        <f t="shared" si="48"/>
        <v>4016.2005304669497</v>
      </c>
      <c r="K178" s="11">
        <f t="shared" si="48"/>
        <v>4753.8478342737344</v>
      </c>
      <c r="L178" s="11">
        <f t="shared" si="48"/>
        <v>5394.4141839114645</v>
      </c>
      <c r="M178" s="11">
        <f t="shared" si="48"/>
        <v>6001.9332665838056</v>
      </c>
    </row>
    <row r="179" spans="1:13">
      <c r="A179" s="12" t="s">
        <v>17</v>
      </c>
      <c r="B179" s="11">
        <f t="shared" ref="B179:M179" si="49">SUM(B180,B210,B211)</f>
        <v>3818.0453975583137</v>
      </c>
      <c r="C179" s="11">
        <f t="shared" si="49"/>
        <v>3829.4388220700607</v>
      </c>
      <c r="D179" s="11">
        <f t="shared" si="49"/>
        <v>3643.1328016543785</v>
      </c>
      <c r="E179" s="11">
        <f t="shared" si="49"/>
        <v>3833.6007169039299</v>
      </c>
      <c r="F179" s="11">
        <f t="shared" si="49"/>
        <v>3947.7257479622817</v>
      </c>
      <c r="G179" s="11">
        <f t="shared" si="49"/>
        <v>4286.9428170769697</v>
      </c>
      <c r="H179" s="11">
        <f t="shared" si="49"/>
        <v>4747.9679309281528</v>
      </c>
      <c r="I179" s="11">
        <f t="shared" si="49"/>
        <v>4797.3641782148716</v>
      </c>
      <c r="J179" s="11">
        <f t="shared" si="49"/>
        <v>3963.6298597054506</v>
      </c>
      <c r="K179" s="11">
        <f t="shared" si="49"/>
        <v>4697.0400977214895</v>
      </c>
      <c r="L179" s="11">
        <f t="shared" si="49"/>
        <v>5353.094124362935</v>
      </c>
      <c r="M179" s="11">
        <f t="shared" si="49"/>
        <v>5949.178646188614</v>
      </c>
    </row>
    <row r="180" spans="1:13">
      <c r="A180" s="13" t="s">
        <v>18</v>
      </c>
      <c r="B180" s="14">
        <f t="shared" ref="B180:M180" si="50">B12/2.7</f>
        <v>3593.8565064320196</v>
      </c>
      <c r="C180" s="14">
        <f t="shared" si="50"/>
        <v>3412.0864354470577</v>
      </c>
      <c r="D180" s="14">
        <f t="shared" si="50"/>
        <v>3334.6316319007374</v>
      </c>
      <c r="E180" s="14">
        <f t="shared" si="50"/>
        <v>3510.8183454095988</v>
      </c>
      <c r="F180" s="14">
        <f t="shared" si="50"/>
        <v>3662.48521735656</v>
      </c>
      <c r="G180" s="14">
        <f t="shared" si="50"/>
        <v>3871.1014334683687</v>
      </c>
      <c r="H180" s="14">
        <f t="shared" si="50"/>
        <v>4185.3176071538692</v>
      </c>
      <c r="I180" s="14">
        <f t="shared" si="50"/>
        <v>4316.7711220384444</v>
      </c>
      <c r="J180" s="14">
        <f t="shared" si="50"/>
        <v>3529.6059886926778</v>
      </c>
      <c r="K180" s="14">
        <f t="shared" si="50"/>
        <v>4065.1671712553898</v>
      </c>
      <c r="L180" s="14">
        <f t="shared" si="50"/>
        <v>4906.0869351974079</v>
      </c>
      <c r="M180" s="14">
        <f t="shared" si="50"/>
        <v>5394.080441079851</v>
      </c>
    </row>
    <row r="181" spans="1:13">
      <c r="A181" s="15" t="s">
        <v>19</v>
      </c>
      <c r="B181" s="18">
        <f t="shared" ref="B181:M181" si="51">B13/2.7</f>
        <v>1302.3489458230501</v>
      </c>
      <c r="C181" s="18">
        <f t="shared" si="51"/>
        <v>1117.8710935794386</v>
      </c>
      <c r="D181" s="18">
        <f t="shared" si="51"/>
        <v>1086.6220113288978</v>
      </c>
      <c r="E181" s="18">
        <f t="shared" si="51"/>
        <v>1114.6517781945274</v>
      </c>
      <c r="F181" s="18">
        <f t="shared" si="51"/>
        <v>1086.9790642480421</v>
      </c>
      <c r="G181" s="18">
        <f t="shared" si="51"/>
        <v>1021.4346369585537</v>
      </c>
      <c r="H181" s="18">
        <f t="shared" si="51"/>
        <v>1106.3760407030529</v>
      </c>
      <c r="I181" s="18">
        <f t="shared" si="51"/>
        <v>1190.0317389360753</v>
      </c>
      <c r="J181" s="18">
        <f t="shared" si="51"/>
        <v>1126.7492845675995</v>
      </c>
      <c r="K181" s="18">
        <f t="shared" si="51"/>
        <v>1186.2458540783891</v>
      </c>
      <c r="L181" s="18">
        <f t="shared" si="51"/>
        <v>1536.7338814813686</v>
      </c>
      <c r="M181" s="18">
        <f t="shared" si="51"/>
        <v>1778.2476409822862</v>
      </c>
    </row>
    <row r="182" spans="1:13">
      <c r="A182" s="19" t="s">
        <v>20</v>
      </c>
      <c r="B182" s="18">
        <f t="shared" ref="B182:M182" si="52">B14/2.7</f>
        <v>1.1239059478039347E-6</v>
      </c>
      <c r="C182" s="18">
        <f t="shared" si="52"/>
        <v>9.923588369554432E-7</v>
      </c>
      <c r="D182" s="18">
        <f t="shared" si="52"/>
        <v>8.9911886351375653E-7</v>
      </c>
      <c r="E182" s="18">
        <f t="shared" si="52"/>
        <v>8.5244224703776319E-7</v>
      </c>
      <c r="F182" s="18">
        <f t="shared" si="52"/>
        <v>7.9910500239731503E-7</v>
      </c>
      <c r="G182" s="18">
        <f t="shared" si="52"/>
        <v>0</v>
      </c>
      <c r="H182" s="18">
        <f t="shared" si="52"/>
        <v>0</v>
      </c>
      <c r="I182" s="18">
        <f t="shared" si="52"/>
        <v>0</v>
      </c>
      <c r="J182" s="18">
        <f t="shared" si="52"/>
        <v>0</v>
      </c>
      <c r="K182" s="18">
        <f t="shared" si="52"/>
        <v>0</v>
      </c>
      <c r="L182" s="18">
        <f t="shared" si="52"/>
        <v>0</v>
      </c>
      <c r="M182" s="18">
        <f t="shared" si="52"/>
        <v>0</v>
      </c>
    </row>
    <row r="183" spans="1:13">
      <c r="A183" s="19" t="s">
        <v>21</v>
      </c>
      <c r="B183" s="18">
        <f t="shared" ref="B183:M183" si="53">B15/2.7</f>
        <v>402.33697510080032</v>
      </c>
      <c r="C183" s="18">
        <f t="shared" si="53"/>
        <v>348.86176441401216</v>
      </c>
      <c r="D183" s="18">
        <f t="shared" si="53"/>
        <v>322.80884732961698</v>
      </c>
      <c r="E183" s="18">
        <f t="shared" si="53"/>
        <v>360.43048333475406</v>
      </c>
      <c r="F183" s="18">
        <f t="shared" si="53"/>
        <v>413.86607000159819</v>
      </c>
      <c r="G183" s="18">
        <f t="shared" si="53"/>
        <v>479.17965098161415</v>
      </c>
      <c r="H183" s="18">
        <f t="shared" si="53"/>
        <v>472.7343509096516</v>
      </c>
      <c r="I183" s="18">
        <f t="shared" si="53"/>
        <v>508.73811652510807</v>
      </c>
      <c r="J183" s="18">
        <f t="shared" si="53"/>
        <v>461.01228449780126</v>
      </c>
      <c r="K183" s="18">
        <f t="shared" si="53"/>
        <v>491.67480919736897</v>
      </c>
      <c r="L183" s="18">
        <f t="shared" si="53"/>
        <v>602.43898531721152</v>
      </c>
      <c r="M183" s="18">
        <f t="shared" si="53"/>
        <v>604.23123341243365</v>
      </c>
    </row>
    <row r="184" spans="1:13">
      <c r="A184" s="19" t="s">
        <v>22</v>
      </c>
      <c r="B184" s="18">
        <f t="shared" ref="B184:M184" si="54">B16/2.7</f>
        <v>684.19123259701882</v>
      </c>
      <c r="C184" s="18">
        <f t="shared" si="54"/>
        <v>623.30852436240957</v>
      </c>
      <c r="D184" s="18">
        <f t="shared" si="54"/>
        <v>609.76622909548644</v>
      </c>
      <c r="E184" s="18">
        <f t="shared" si="54"/>
        <v>613.47114482993777</v>
      </c>
      <c r="F184" s="18">
        <f t="shared" si="54"/>
        <v>519.05865430717597</v>
      </c>
      <c r="G184" s="18">
        <f t="shared" si="54"/>
        <v>418.06014334683692</v>
      </c>
      <c r="H184" s="18">
        <f t="shared" si="54"/>
        <v>447.40440949737905</v>
      </c>
      <c r="I184" s="18">
        <f t="shared" si="54"/>
        <v>496.72276858888392</v>
      </c>
      <c r="J184" s="18">
        <f t="shared" si="54"/>
        <v>474.32707475396097</v>
      </c>
      <c r="K184" s="18">
        <f t="shared" si="54"/>
        <v>499.80781984081392</v>
      </c>
      <c r="L184" s="18">
        <f t="shared" si="54"/>
        <v>700.2662847386207</v>
      </c>
      <c r="M184" s="18">
        <f t="shared" si="54"/>
        <v>873.22445679011014</v>
      </c>
    </row>
    <row r="185" spans="1:13">
      <c r="A185" s="19" t="s">
        <v>23</v>
      </c>
      <c r="B185" s="18">
        <f t="shared" ref="B185:M185" si="55">B17/2.7</f>
        <v>18.704042783353078</v>
      </c>
      <c r="C185" s="18">
        <f t="shared" si="55"/>
        <v>16.746055373623104</v>
      </c>
      <c r="D185" s="18">
        <f t="shared" si="55"/>
        <v>13.823952526524007</v>
      </c>
      <c r="E185" s="18">
        <f t="shared" si="55"/>
        <v>8.6488790384451466</v>
      </c>
      <c r="F185" s="18">
        <f t="shared" si="55"/>
        <v>12.471631772414895</v>
      </c>
      <c r="G185" s="18">
        <f t="shared" si="55"/>
        <v>14.897164225615455</v>
      </c>
      <c r="H185" s="18">
        <f t="shared" si="55"/>
        <v>17.00354609929078</v>
      </c>
      <c r="I185" s="18">
        <f t="shared" si="55"/>
        <v>16.759052302190437</v>
      </c>
      <c r="J185" s="18">
        <f t="shared" si="55"/>
        <v>20.110281287080333</v>
      </c>
      <c r="K185" s="18">
        <f t="shared" si="55"/>
        <v>17.216254002100271</v>
      </c>
      <c r="L185" s="18">
        <f t="shared" si="55"/>
        <v>19.560185936282345</v>
      </c>
      <c r="M185" s="18">
        <f t="shared" si="55"/>
        <v>20.64179467775153</v>
      </c>
    </row>
    <row r="186" spans="1:13">
      <c r="A186" s="19" t="s">
        <v>24</v>
      </c>
      <c r="B186" s="18">
        <f t="shared" ref="B186:M186" si="56">B18/2.7</f>
        <v>45.207992844465466</v>
      </c>
      <c r="C186" s="18">
        <f t="shared" si="56"/>
        <v>41.303959511759459</v>
      </c>
      <c r="D186" s="18">
        <f t="shared" si="56"/>
        <v>38.172091350476535</v>
      </c>
      <c r="E186" s="18">
        <f t="shared" si="56"/>
        <v>38.778450259994891</v>
      </c>
      <c r="F186" s="18">
        <f t="shared" si="56"/>
        <v>41.46396036439188</v>
      </c>
      <c r="G186" s="18">
        <f t="shared" si="56"/>
        <v>41.321283889062009</v>
      </c>
      <c r="H186" s="18">
        <f t="shared" si="56"/>
        <v>39.815757015109462</v>
      </c>
      <c r="I186" s="18">
        <f t="shared" si="56"/>
        <v>43.420503650722694</v>
      </c>
      <c r="J186" s="18">
        <f t="shared" si="56"/>
        <v>35.484051092343122</v>
      </c>
      <c r="K186" s="18">
        <f t="shared" si="56"/>
        <v>40.659748359079551</v>
      </c>
      <c r="L186" s="18">
        <f t="shared" si="56"/>
        <v>47.343282576032962</v>
      </c>
      <c r="M186" s="18">
        <f t="shared" si="56"/>
        <v>51.413660906933629</v>
      </c>
    </row>
    <row r="187" spans="1:13">
      <c r="A187" s="19" t="s">
        <v>25</v>
      </c>
      <c r="B187" s="18">
        <f t="shared" ref="B187:M187" si="57">B19/2.7</f>
        <v>151.90937571707542</v>
      </c>
      <c r="C187" s="18">
        <f t="shared" si="57"/>
        <v>87.650094274089511</v>
      </c>
      <c r="D187" s="18">
        <f t="shared" si="57"/>
        <v>102.05089012767488</v>
      </c>
      <c r="E187" s="18">
        <f t="shared" si="57"/>
        <v>93.322819878953197</v>
      </c>
      <c r="F187" s="18">
        <f t="shared" si="57"/>
        <v>100.11826754035479</v>
      </c>
      <c r="G187" s="18">
        <f t="shared" si="57"/>
        <v>67.976004985976928</v>
      </c>
      <c r="H187" s="18">
        <f t="shared" si="57"/>
        <v>129.4172062904718</v>
      </c>
      <c r="I187" s="18">
        <f t="shared" si="57"/>
        <v>124.39129786917002</v>
      </c>
      <c r="J187" s="18">
        <f t="shared" si="57"/>
        <v>135.81559293641374</v>
      </c>
      <c r="K187" s="18">
        <f t="shared" si="57"/>
        <v>136.88722267902654</v>
      </c>
      <c r="L187" s="18">
        <f t="shared" si="57"/>
        <v>167.12514291322111</v>
      </c>
      <c r="M187" s="18">
        <f t="shared" si="57"/>
        <v>228.73649519505719</v>
      </c>
    </row>
    <row r="188" spans="1:13">
      <c r="A188" s="15" t="s">
        <v>26</v>
      </c>
      <c r="B188" s="18">
        <f t="shared" ref="B188:D189" si="58">B20/2.7</f>
        <v>23.850408118347293</v>
      </c>
      <c r="C188" s="18">
        <f t="shared" si="58"/>
        <v>20.682742879825348</v>
      </c>
      <c r="D188" s="18">
        <f t="shared" si="58"/>
        <v>21.259665527782772</v>
      </c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1:13">
      <c r="A189" s="15" t="s">
        <v>27</v>
      </c>
      <c r="B189" s="18">
        <f t="shared" si="58"/>
        <v>1084.1190029081067</v>
      </c>
      <c r="C189" s="18">
        <f t="shared" si="58"/>
        <v>1143.3172571201749</v>
      </c>
      <c r="D189" s="18">
        <f t="shared" si="58"/>
        <v>1082.7315231073549</v>
      </c>
      <c r="E189" s="18">
        <f t="shared" ref="E189:M189" si="59">E21/2.7</f>
        <v>1140.5037933679994</v>
      </c>
      <c r="F189" s="18">
        <f t="shared" si="59"/>
        <v>1185.1841137925524</v>
      </c>
      <c r="G189" s="18">
        <f t="shared" si="59"/>
        <v>1370.3275163602366</v>
      </c>
      <c r="H189" s="18">
        <f t="shared" si="59"/>
        <v>1475.8919210607462</v>
      </c>
      <c r="I189" s="18">
        <f t="shared" si="59"/>
        <v>1500.0973029354791</v>
      </c>
      <c r="J189" s="18">
        <f t="shared" si="59"/>
        <v>1205.2484120890624</v>
      </c>
      <c r="K189" s="18">
        <f t="shared" si="59"/>
        <v>1305.8286294886561</v>
      </c>
      <c r="L189" s="18">
        <f t="shared" si="59"/>
        <v>1516.4635131381742</v>
      </c>
      <c r="M189" s="18">
        <f t="shared" si="59"/>
        <v>1705.8223549259565</v>
      </c>
    </row>
    <row r="190" spans="1:13">
      <c r="A190" s="19" t="s">
        <v>28</v>
      </c>
      <c r="B190" s="17"/>
      <c r="C190" s="17"/>
      <c r="D190" s="18">
        <f>D22/2.7</f>
        <v>5.9692501348678295</v>
      </c>
      <c r="E190" s="18">
        <f t="shared" ref="E190:M190" si="60">E22/2.7</f>
        <v>4.782201005881852</v>
      </c>
      <c r="F190" s="18">
        <f t="shared" si="60"/>
        <v>6.1674924085024774</v>
      </c>
      <c r="G190" s="18">
        <f t="shared" si="60"/>
        <v>7.5802430663758171</v>
      </c>
      <c r="H190" s="18">
        <f t="shared" si="60"/>
        <v>8.3341042244835037</v>
      </c>
      <c r="I190" s="18">
        <f t="shared" si="60"/>
        <v>2.1613768439874836</v>
      </c>
      <c r="J190" s="18">
        <f t="shared" si="60"/>
        <v>0.89551197040552799</v>
      </c>
      <c r="K190" s="18">
        <f t="shared" si="60"/>
        <v>0.97410457686266227</v>
      </c>
      <c r="L190" s="18">
        <f t="shared" si="60"/>
        <v>0.79743930096855364</v>
      </c>
      <c r="M190" s="18">
        <f t="shared" si="60"/>
        <v>0.6910618031643756</v>
      </c>
    </row>
    <row r="191" spans="1:13">
      <c r="A191" s="19" t="s">
        <v>29</v>
      </c>
      <c r="B191" s="18">
        <f>B23/2.7</f>
        <v>140.00945954172735</v>
      </c>
      <c r="C191" s="18">
        <f>C23/2.7</f>
        <v>122.19509774734546</v>
      </c>
      <c r="D191" s="18">
        <f>D23/2.7</f>
        <v>90.560151051969072</v>
      </c>
      <c r="E191" s="18">
        <f t="shared" ref="E191:M191" si="61">E23/2.7</f>
        <v>119.58230329895152</v>
      </c>
      <c r="F191" s="18">
        <f t="shared" si="61"/>
        <v>145.68323477704968</v>
      </c>
      <c r="G191" s="18">
        <f t="shared" si="61"/>
        <v>217.26939856653163</v>
      </c>
      <c r="H191" s="18">
        <f t="shared" si="61"/>
        <v>199.69781066913356</v>
      </c>
      <c r="I191" s="18">
        <f t="shared" si="61"/>
        <v>226.04455371777681</v>
      </c>
      <c r="J191" s="18">
        <f t="shared" si="61"/>
        <v>186.54777692468764</v>
      </c>
      <c r="K191" s="18">
        <f t="shared" si="61"/>
        <v>168.62022099472611</v>
      </c>
      <c r="L191" s="18">
        <f t="shared" si="61"/>
        <v>170.51857498946725</v>
      </c>
      <c r="M191" s="18">
        <f t="shared" si="61"/>
        <v>158.67189608912577</v>
      </c>
    </row>
    <row r="192" spans="1:13" s="20" customFormat="1">
      <c r="A192" s="19" t="s">
        <v>26</v>
      </c>
      <c r="B192" s="17"/>
      <c r="C192" s="17"/>
      <c r="D192" s="17"/>
      <c r="E192" s="18">
        <f t="shared" ref="E192:M192" si="62">E24/2.7</f>
        <v>2.0040917227857813</v>
      </c>
      <c r="F192" s="18">
        <f t="shared" si="62"/>
        <v>3.0118267540354799</v>
      </c>
      <c r="G192" s="18">
        <f t="shared" si="62"/>
        <v>3.9038641321283887</v>
      </c>
      <c r="H192" s="18">
        <f t="shared" si="62"/>
        <v>4.1427690410114089</v>
      </c>
      <c r="I192" s="18">
        <f t="shared" si="62"/>
        <v>4.5894799582774555</v>
      </c>
      <c r="J192" s="18">
        <f t="shared" si="62"/>
        <v>4.1837090807566124</v>
      </c>
      <c r="K192" s="18">
        <f t="shared" si="62"/>
        <v>4.1152437059289868</v>
      </c>
      <c r="L192" s="18">
        <f t="shared" si="62"/>
        <v>4.5654049185268848</v>
      </c>
      <c r="M192" s="18">
        <f t="shared" si="62"/>
        <v>5.3807533224863109</v>
      </c>
    </row>
    <row r="193" spans="1:13">
      <c r="A193" s="19" t="s">
        <v>30</v>
      </c>
      <c r="B193" s="18">
        <f t="shared" ref="B193:D194" si="63">B25/2.7</f>
        <v>24.548353711933537</v>
      </c>
      <c r="C193" s="18">
        <f t="shared" si="63"/>
        <v>25.757665972015484</v>
      </c>
      <c r="D193" s="18">
        <f t="shared" si="63"/>
        <v>23.947131810825393</v>
      </c>
      <c r="E193" s="18">
        <f t="shared" ref="E193:M193" si="64">E25/2.7</f>
        <v>25.118915693461766</v>
      </c>
      <c r="F193" s="18">
        <f t="shared" si="64"/>
        <v>25.563369026690108</v>
      </c>
      <c r="G193" s="18">
        <f t="shared" si="64"/>
        <v>30.881115612340288</v>
      </c>
      <c r="H193" s="18">
        <f t="shared" si="64"/>
        <v>35.262873882207842</v>
      </c>
      <c r="I193" s="18">
        <f t="shared" si="64"/>
        <v>35.360601996721805</v>
      </c>
      <c r="J193" s="18">
        <f t="shared" si="64"/>
        <v>31.74425909122635</v>
      </c>
      <c r="K193" s="18">
        <f t="shared" si="64"/>
        <v>32.906698180265224</v>
      </c>
      <c r="L193" s="18">
        <f t="shared" si="64"/>
        <v>34.366914431100156</v>
      </c>
      <c r="M193" s="18">
        <f t="shared" si="64"/>
        <v>33.86538242241766</v>
      </c>
    </row>
    <row r="194" spans="1:13">
      <c r="A194" s="19" t="s">
        <v>31</v>
      </c>
      <c r="B194" s="18">
        <f t="shared" si="63"/>
        <v>3.8538734950196916</v>
      </c>
      <c r="C194" s="18">
        <f t="shared" si="63"/>
        <v>3.5774536072243723</v>
      </c>
      <c r="D194" s="18">
        <f t="shared" si="63"/>
        <v>3.4921776658874299</v>
      </c>
      <c r="E194" s="18">
        <f t="shared" ref="E194:M194" si="65">E26/2.7</f>
        <v>3.7950728838121215</v>
      </c>
      <c r="F194" s="18">
        <f t="shared" si="65"/>
        <v>4.0027169570081504</v>
      </c>
      <c r="G194" s="18">
        <f t="shared" si="65"/>
        <v>8.2050483016516047</v>
      </c>
      <c r="H194" s="18">
        <f t="shared" si="65"/>
        <v>12.850755473327169</v>
      </c>
      <c r="I194" s="18">
        <f t="shared" si="65"/>
        <v>19.260914915809867</v>
      </c>
      <c r="J194" s="18">
        <f t="shared" si="65"/>
        <v>15.182522509946251</v>
      </c>
      <c r="K194" s="18">
        <f t="shared" si="65"/>
        <v>28.069993766625842</v>
      </c>
      <c r="L194" s="18">
        <f t="shared" si="65"/>
        <v>18.546567510417315</v>
      </c>
      <c r="M194" s="18">
        <f t="shared" si="65"/>
        <v>10.463935407670236</v>
      </c>
    </row>
    <row r="195" spans="1:13">
      <c r="A195" s="19" t="s">
        <v>32</v>
      </c>
      <c r="B195" s="17"/>
      <c r="C195" s="17"/>
      <c r="D195" s="17"/>
      <c r="E195" s="17"/>
      <c r="F195" s="17"/>
      <c r="G195" s="18">
        <f t="shared" ref="G195:M204" si="66">G27/2.7</f>
        <v>0.43081956995948884</v>
      </c>
      <c r="H195" s="18">
        <f t="shared" si="66"/>
        <v>0.53114400246685178</v>
      </c>
      <c r="I195" s="18">
        <f t="shared" si="66"/>
        <v>0.61838772165102074</v>
      </c>
      <c r="J195" s="18">
        <f t="shared" si="66"/>
        <v>0.66796956794862838</v>
      </c>
      <c r="K195" s="18">
        <f t="shared" si="66"/>
        <v>0.62862569017413461</v>
      </c>
      <c r="L195" s="18">
        <f t="shared" si="66"/>
        <v>0.68504861885353829</v>
      </c>
      <c r="M195" s="18">
        <f t="shared" si="66"/>
        <v>0.27794923606577215</v>
      </c>
    </row>
    <row r="196" spans="1:13">
      <c r="A196" s="19" t="s">
        <v>33</v>
      </c>
      <c r="B196" s="18">
        <f t="shared" ref="B196:F208" si="67">B28/2.7</f>
        <v>21.523922806393148</v>
      </c>
      <c r="C196" s="18">
        <f t="shared" si="67"/>
        <v>24.36836360027786</v>
      </c>
      <c r="D196" s="18">
        <f t="shared" si="67"/>
        <v>23.885092609242939</v>
      </c>
      <c r="E196" s="18">
        <f t="shared" si="67"/>
        <v>23.294689284800953</v>
      </c>
      <c r="F196" s="18">
        <f t="shared" si="67"/>
        <v>22.02013744606041</v>
      </c>
      <c r="G196" s="18">
        <f t="shared" si="66"/>
        <v>24.628388906201309</v>
      </c>
      <c r="H196" s="18">
        <f t="shared" si="66"/>
        <v>42.792938637064452</v>
      </c>
      <c r="I196" s="18">
        <f t="shared" si="66"/>
        <v>46.647295485024586</v>
      </c>
      <c r="J196" s="18">
        <f t="shared" si="66"/>
        <v>44.784672297061483</v>
      </c>
      <c r="K196" s="18">
        <f t="shared" si="66"/>
        <v>49.745644146807386</v>
      </c>
      <c r="L196" s="18">
        <f t="shared" si="66"/>
        <v>55.453968688626347</v>
      </c>
      <c r="M196" s="18">
        <f t="shared" si="66"/>
        <v>52.803219918160842</v>
      </c>
    </row>
    <row r="197" spans="1:13">
      <c r="A197" s="19" t="s">
        <v>34</v>
      </c>
      <c r="B197" s="18">
        <f t="shared" si="67"/>
        <v>6.8591979994474119</v>
      </c>
      <c r="C197" s="18">
        <f t="shared" si="67"/>
        <v>17.0467401012206</v>
      </c>
      <c r="D197" s="18">
        <f t="shared" si="67"/>
        <v>17.974285200503505</v>
      </c>
      <c r="E197" s="18">
        <f t="shared" si="67"/>
        <v>17.552638308754581</v>
      </c>
      <c r="F197" s="18">
        <f t="shared" si="67"/>
        <v>18.809333546428004</v>
      </c>
      <c r="G197" s="18">
        <f t="shared" si="66"/>
        <v>20.405889685260203</v>
      </c>
      <c r="H197" s="18">
        <f t="shared" si="66"/>
        <v>21.137835337650326</v>
      </c>
      <c r="I197" s="18">
        <f t="shared" si="66"/>
        <v>21.735955893309495</v>
      </c>
      <c r="J197" s="18">
        <f t="shared" si="66"/>
        <v>4.8914636699937173</v>
      </c>
      <c r="K197" s="18">
        <f t="shared" si="66"/>
        <v>14.415952008845661</v>
      </c>
      <c r="L197" s="18">
        <f t="shared" si="66"/>
        <v>22.264136235103081</v>
      </c>
      <c r="M197" s="18">
        <f t="shared" si="66"/>
        <v>22.369571636296804</v>
      </c>
    </row>
    <row r="198" spans="1:13">
      <c r="A198" s="19" t="s">
        <v>35</v>
      </c>
      <c r="B198" s="18">
        <f t="shared" si="67"/>
        <v>169.02084377239032</v>
      </c>
      <c r="C198" s="18">
        <f t="shared" si="67"/>
        <v>179.65565148357649</v>
      </c>
      <c r="D198" s="18">
        <f t="shared" si="67"/>
        <v>176.43948930048549</v>
      </c>
      <c r="E198" s="18">
        <f t="shared" si="67"/>
        <v>181.0996504986787</v>
      </c>
      <c r="F198" s="18">
        <f t="shared" si="67"/>
        <v>189.10819881732459</v>
      </c>
      <c r="G198" s="18">
        <f t="shared" si="66"/>
        <v>207.46494234964163</v>
      </c>
      <c r="H198" s="18">
        <f t="shared" si="66"/>
        <v>224.85198889916748</v>
      </c>
      <c r="I198" s="18">
        <f t="shared" si="66"/>
        <v>242.80457457904933</v>
      </c>
      <c r="J198" s="18">
        <f t="shared" si="66"/>
        <v>208.17945138549592</v>
      </c>
      <c r="K198" s="18">
        <f t="shared" si="66"/>
        <v>221.10449815885329</v>
      </c>
      <c r="L198" s="18">
        <f t="shared" si="66"/>
        <v>271.41748629039228</v>
      </c>
      <c r="M198" s="18">
        <f t="shared" si="66"/>
        <v>309.66889300691361</v>
      </c>
    </row>
    <row r="199" spans="1:13">
      <c r="A199" s="19" t="s">
        <v>36</v>
      </c>
      <c r="B199" s="18">
        <f t="shared" si="67"/>
        <v>42.960180948857598</v>
      </c>
      <c r="C199" s="18">
        <f t="shared" si="67"/>
        <v>64.898283219212075</v>
      </c>
      <c r="D199" s="18">
        <f t="shared" si="67"/>
        <v>60.129473116345984</v>
      </c>
      <c r="E199" s="18">
        <f t="shared" si="67"/>
        <v>49.510698150200334</v>
      </c>
      <c r="F199" s="18">
        <f t="shared" si="67"/>
        <v>33.897235096691702</v>
      </c>
      <c r="G199" s="18">
        <f t="shared" si="66"/>
        <v>28.92411966344655</v>
      </c>
      <c r="H199" s="18">
        <f t="shared" si="66"/>
        <v>24.555195806352145</v>
      </c>
      <c r="I199" s="18">
        <f t="shared" si="66"/>
        <v>27.125614662494414</v>
      </c>
      <c r="J199" s="18">
        <f t="shared" si="66"/>
        <v>25.26418650101207</v>
      </c>
      <c r="K199" s="18">
        <f t="shared" si="66"/>
        <v>22.357324651804984</v>
      </c>
      <c r="L199" s="18">
        <f t="shared" si="66"/>
        <v>20.573864676157601</v>
      </c>
      <c r="M199" s="18">
        <f t="shared" si="66"/>
        <v>18.75796841462294</v>
      </c>
    </row>
    <row r="200" spans="1:13">
      <c r="A200" s="19" t="s">
        <v>37</v>
      </c>
      <c r="B200" s="18">
        <f t="shared" si="67"/>
        <v>14.536599528896089</v>
      </c>
      <c r="C200" s="18">
        <f t="shared" si="67"/>
        <v>9.8392378684132193</v>
      </c>
      <c r="D200" s="18">
        <f t="shared" si="67"/>
        <v>9.1161661571659778</v>
      </c>
      <c r="E200" s="18">
        <f t="shared" si="67"/>
        <v>8.459636859602762</v>
      </c>
      <c r="F200" s="18">
        <f t="shared" si="67"/>
        <v>9.9025091897075281</v>
      </c>
      <c r="G200" s="18">
        <f t="shared" si="66"/>
        <v>15.412122156435025</v>
      </c>
      <c r="H200" s="18">
        <f t="shared" si="66"/>
        <v>19.369411039161271</v>
      </c>
      <c r="I200" s="18">
        <f t="shared" si="66"/>
        <v>16.095216808225306</v>
      </c>
      <c r="J200" s="18">
        <f t="shared" si="66"/>
        <v>11.959935785579674</v>
      </c>
      <c r="K200" s="18">
        <f t="shared" si="66"/>
        <v>13.519430982352592</v>
      </c>
      <c r="L200" s="18">
        <f t="shared" si="66"/>
        <v>17.796864676700668</v>
      </c>
      <c r="M200" s="18">
        <f t="shared" si="66"/>
        <v>18.059765814580778</v>
      </c>
    </row>
    <row r="201" spans="1:13">
      <c r="A201" s="19" t="s">
        <v>38</v>
      </c>
      <c r="B201" s="18">
        <f t="shared" si="67"/>
        <v>572.03553415971635</v>
      </c>
      <c r="C201" s="18">
        <f t="shared" si="67"/>
        <v>607.9676491019153</v>
      </c>
      <c r="D201" s="18">
        <f t="shared" si="67"/>
        <v>575.38752023017446</v>
      </c>
      <c r="E201" s="18">
        <f t="shared" si="67"/>
        <v>620.10996504986792</v>
      </c>
      <c r="F201" s="18">
        <f t="shared" si="67"/>
        <v>624.69793830909373</v>
      </c>
      <c r="G201" s="18">
        <f t="shared" si="66"/>
        <v>707.51791835462745</v>
      </c>
      <c r="H201" s="18">
        <f t="shared" si="66"/>
        <v>776.24884366327478</v>
      </c>
      <c r="I201" s="18">
        <f t="shared" si="66"/>
        <v>814.36320965578909</v>
      </c>
      <c r="J201" s="18">
        <f t="shared" si="66"/>
        <v>636.50150066308368</v>
      </c>
      <c r="K201" s="18">
        <f t="shared" si="66"/>
        <v>707.96116994609008</v>
      </c>
      <c r="L201" s="18">
        <f t="shared" si="66"/>
        <v>850.89750243254457</v>
      </c>
      <c r="M201" s="18">
        <f t="shared" si="66"/>
        <v>1030.1930586333831</v>
      </c>
    </row>
    <row r="202" spans="1:13">
      <c r="A202" s="19" t="s">
        <v>39</v>
      </c>
      <c r="B202" s="18">
        <f t="shared" si="67"/>
        <v>88.772835193241576</v>
      </c>
      <c r="C202" s="18">
        <f t="shared" si="67"/>
        <v>88.010320531904341</v>
      </c>
      <c r="D202" s="18">
        <f t="shared" si="67"/>
        <v>95.830785829886693</v>
      </c>
      <c r="E202" s="18">
        <f t="shared" si="67"/>
        <v>85.193930611201097</v>
      </c>
      <c r="F202" s="18">
        <f t="shared" si="67"/>
        <v>102.3206009269618</v>
      </c>
      <c r="G202" s="18">
        <f t="shared" si="66"/>
        <v>97.704113430975355</v>
      </c>
      <c r="H202" s="18">
        <f t="shared" si="66"/>
        <v>106.1162503854456</v>
      </c>
      <c r="I202" s="18">
        <f t="shared" si="66"/>
        <v>43.290120697362539</v>
      </c>
      <c r="J202" s="18">
        <f t="shared" si="66"/>
        <v>34.445452641865003</v>
      </c>
      <c r="K202" s="18">
        <f t="shared" si="66"/>
        <v>41.409722679318946</v>
      </c>
      <c r="L202" s="18">
        <f t="shared" si="66"/>
        <v>48.579740369315807</v>
      </c>
      <c r="M202" s="18">
        <f t="shared" si="66"/>
        <v>44.618899221068446</v>
      </c>
    </row>
    <row r="203" spans="1:13">
      <c r="A203" s="15" t="s">
        <v>40</v>
      </c>
      <c r="B203" s="18">
        <f t="shared" si="67"/>
        <v>1183.5381495825156</v>
      </c>
      <c r="C203" s="18">
        <f t="shared" si="67"/>
        <v>1130.2153418676191</v>
      </c>
      <c r="D203" s="18">
        <f t="shared" si="67"/>
        <v>1144.0184319367017</v>
      </c>
      <c r="E203" s="18">
        <f t="shared" si="67"/>
        <v>1255.662773847072</v>
      </c>
      <c r="F203" s="18">
        <f t="shared" si="67"/>
        <v>1390.3220393159661</v>
      </c>
      <c r="G203" s="18">
        <f t="shared" si="66"/>
        <v>1479.3389685260204</v>
      </c>
      <c r="H203" s="18">
        <f t="shared" si="66"/>
        <v>1603.049645390071</v>
      </c>
      <c r="I203" s="18">
        <f t="shared" si="66"/>
        <v>1626.6420801668903</v>
      </c>
      <c r="J203" s="18">
        <f t="shared" si="66"/>
        <v>1197.6082920360159</v>
      </c>
      <c r="K203" s="18">
        <f t="shared" si="66"/>
        <v>1573.0926876883443</v>
      </c>
      <c r="L203" s="18">
        <f t="shared" si="66"/>
        <v>1852.8895405778646</v>
      </c>
      <c r="M203" s="18">
        <f t="shared" si="66"/>
        <v>1910.0104451716081</v>
      </c>
    </row>
    <row r="204" spans="1:13">
      <c r="A204" s="19" t="s">
        <v>41</v>
      </c>
      <c r="B204" s="18">
        <f t="shared" si="67"/>
        <v>274.38702637900917</v>
      </c>
      <c r="C204" s="18">
        <f t="shared" si="67"/>
        <v>253.63699513744172</v>
      </c>
      <c r="D204" s="18">
        <f t="shared" si="67"/>
        <v>238.78439129652941</v>
      </c>
      <c r="E204" s="18">
        <f t="shared" si="67"/>
        <v>251.64947574801809</v>
      </c>
      <c r="F204" s="18">
        <f t="shared" si="67"/>
        <v>284.33114911299344</v>
      </c>
      <c r="G204" s="18">
        <f t="shared" si="66"/>
        <v>297.61452165783732</v>
      </c>
      <c r="H204" s="18">
        <f t="shared" si="66"/>
        <v>327.6302806043787</v>
      </c>
      <c r="I204" s="18">
        <f t="shared" si="66"/>
        <v>337.89301147369991</v>
      </c>
      <c r="J204" s="18">
        <f t="shared" si="66"/>
        <v>279.07098485377253</v>
      </c>
      <c r="K204" s="18">
        <f t="shared" si="66"/>
        <v>343.20973361703409</v>
      </c>
      <c r="L204" s="18">
        <f t="shared" si="66"/>
        <v>396.58121730000727</v>
      </c>
      <c r="M204" s="18">
        <f t="shared" si="66"/>
        <v>406.67383044529367</v>
      </c>
    </row>
    <row r="205" spans="1:13">
      <c r="A205" s="19" t="s">
        <v>39</v>
      </c>
      <c r="B205" s="18">
        <f t="shared" si="67"/>
        <v>18.793955259177395</v>
      </c>
      <c r="C205" s="18">
        <f t="shared" si="67"/>
        <v>19.307333531805103</v>
      </c>
      <c r="D205" s="18">
        <f t="shared" si="67"/>
        <v>16.947491458370799</v>
      </c>
      <c r="E205" s="18">
        <f t="shared" si="67"/>
        <v>16.803341573608389</v>
      </c>
      <c r="F205" s="18">
        <f t="shared" si="67"/>
        <v>18.06137126418411</v>
      </c>
      <c r="G205" s="18">
        <f t="shared" ref="G205:M214" si="68">G37/2.7</f>
        <v>18.928794016827666</v>
      </c>
      <c r="H205" s="18">
        <f t="shared" si="68"/>
        <v>22.194727104532841</v>
      </c>
      <c r="I205" s="18">
        <f t="shared" si="68"/>
        <v>21.543734167784233</v>
      </c>
      <c r="J205" s="18">
        <f t="shared" si="68"/>
        <v>14.067843931039294</v>
      </c>
      <c r="K205" s="18">
        <f t="shared" si="68"/>
        <v>20.282462009869469</v>
      </c>
      <c r="L205" s="18">
        <f t="shared" si="68"/>
        <v>28.65783990859153</v>
      </c>
      <c r="M205" s="18">
        <f t="shared" si="68"/>
        <v>26.326307180354274</v>
      </c>
    </row>
    <row r="206" spans="1:13">
      <c r="A206" s="19" t="s">
        <v>42</v>
      </c>
      <c r="B206" s="18">
        <f t="shared" si="67"/>
        <v>60.652708379187139</v>
      </c>
      <c r="C206" s="18">
        <f t="shared" si="67"/>
        <v>91.168998709933518</v>
      </c>
      <c r="D206" s="18">
        <f t="shared" si="67"/>
        <v>87.143499370616794</v>
      </c>
      <c r="E206" s="18">
        <f t="shared" si="67"/>
        <v>86.529707612309267</v>
      </c>
      <c r="F206" s="18">
        <f t="shared" si="67"/>
        <v>116.09157743327475</v>
      </c>
      <c r="G206" s="18">
        <f t="shared" si="68"/>
        <v>148.20037394827045</v>
      </c>
      <c r="H206" s="18">
        <f t="shared" si="68"/>
        <v>160.01233425840272</v>
      </c>
      <c r="I206" s="18">
        <f t="shared" si="68"/>
        <v>163.16793324392791</v>
      </c>
      <c r="J206" s="18">
        <f t="shared" si="68"/>
        <v>37.550080268025404</v>
      </c>
      <c r="K206" s="18">
        <f t="shared" si="68"/>
        <v>104.17945667919614</v>
      </c>
      <c r="L206" s="18">
        <f t="shared" si="68"/>
        <v>160.87655415257368</v>
      </c>
      <c r="M206" s="18">
        <f t="shared" si="68"/>
        <v>187.06515651646237</v>
      </c>
    </row>
    <row r="207" spans="1:13">
      <c r="A207" s="19" t="s">
        <v>43</v>
      </c>
      <c r="B207" s="18">
        <f t="shared" si="67"/>
        <v>511.39069312216384</v>
      </c>
      <c r="C207" s="18">
        <f t="shared" si="67"/>
        <v>508.45985908504525</v>
      </c>
      <c r="D207" s="18">
        <f t="shared" si="67"/>
        <v>525.72199244740159</v>
      </c>
      <c r="E207" s="18">
        <f t="shared" si="67"/>
        <v>560.95984997016456</v>
      </c>
      <c r="F207" s="18">
        <f t="shared" si="67"/>
        <v>589.21687709765069</v>
      </c>
      <c r="G207" s="18">
        <f t="shared" si="68"/>
        <v>614.87067622312236</v>
      </c>
      <c r="H207" s="18">
        <f t="shared" si="68"/>
        <v>672.23481344434174</v>
      </c>
      <c r="I207" s="18">
        <f t="shared" si="68"/>
        <v>689.14841305319635</v>
      </c>
      <c r="J207" s="18">
        <f t="shared" si="68"/>
        <v>530.98303901724</v>
      </c>
      <c r="K207" s="18">
        <f t="shared" si="68"/>
        <v>675.71890524847731</v>
      </c>
      <c r="L207" s="18">
        <f t="shared" si="68"/>
        <v>768.13951711246568</v>
      </c>
      <c r="M207" s="18">
        <f t="shared" si="68"/>
        <v>793.41210293998279</v>
      </c>
    </row>
    <row r="208" spans="1:13">
      <c r="A208" s="19" t="s">
        <v>44</v>
      </c>
      <c r="B208" s="18">
        <f t="shared" si="67"/>
        <v>318.31376644297814</v>
      </c>
      <c r="C208" s="18">
        <f t="shared" si="67"/>
        <v>257.64215540339387</v>
      </c>
      <c r="D208" s="18">
        <f t="shared" si="67"/>
        <v>275.42168674698797</v>
      </c>
      <c r="E208" s="18">
        <f t="shared" si="67"/>
        <v>317.59440797885941</v>
      </c>
      <c r="F208" s="18">
        <f t="shared" si="67"/>
        <v>360.27728943583185</v>
      </c>
      <c r="G208" s="18">
        <f t="shared" si="68"/>
        <v>375.77905889685258</v>
      </c>
      <c r="H208" s="18">
        <f t="shared" si="68"/>
        <v>394.42414431082335</v>
      </c>
      <c r="I208" s="18">
        <f t="shared" si="68"/>
        <v>388.67754433020417</v>
      </c>
      <c r="J208" s="18">
        <f t="shared" si="68"/>
        <v>311.84476861869194</v>
      </c>
      <c r="K208" s="18">
        <f t="shared" si="68"/>
        <v>398.7423148926913</v>
      </c>
      <c r="L208" s="18">
        <f t="shared" si="68"/>
        <v>460.78080456492728</v>
      </c>
      <c r="M208" s="18">
        <f t="shared" si="68"/>
        <v>461.13754299468633</v>
      </c>
    </row>
    <row r="209" spans="1:13" s="20" customFormat="1">
      <c r="A209" s="19" t="s">
        <v>26</v>
      </c>
      <c r="B209" s="17"/>
      <c r="C209" s="17"/>
      <c r="D209" s="17"/>
      <c r="E209" s="18">
        <f t="shared" ref="E209:F211" si="69">E41/2.7</f>
        <v>22.12599096411218</v>
      </c>
      <c r="F209" s="18">
        <f t="shared" si="69"/>
        <v>22.343774972031323</v>
      </c>
      <c r="G209" s="18">
        <f t="shared" si="68"/>
        <v>23.945154253661574</v>
      </c>
      <c r="H209" s="18">
        <f t="shared" si="68"/>
        <v>26.553345667591739</v>
      </c>
      <c r="I209" s="18">
        <f t="shared" si="68"/>
        <v>26.211443898077786</v>
      </c>
      <c r="J209" s="18">
        <f t="shared" si="68"/>
        <v>24.091575347246454</v>
      </c>
      <c r="K209" s="18">
        <f t="shared" si="68"/>
        <v>30.959815241076129</v>
      </c>
      <c r="L209" s="18">
        <f t="shared" si="68"/>
        <v>37.853607539299603</v>
      </c>
      <c r="M209" s="18">
        <f t="shared" si="68"/>
        <v>35.395505094828579</v>
      </c>
    </row>
    <row r="210" spans="1:13">
      <c r="A210" s="13" t="s">
        <v>45</v>
      </c>
      <c r="B210" s="18">
        <f t="shared" ref="B210:D211" si="70">B42/2.7</f>
        <v>13.078893514594387</v>
      </c>
      <c r="C210" s="18">
        <f t="shared" si="70"/>
        <v>10.017862459065199</v>
      </c>
      <c r="D210" s="18">
        <f t="shared" si="70"/>
        <v>8.9911886351375653E-7</v>
      </c>
      <c r="E210" s="18">
        <f t="shared" si="69"/>
        <v>18.045349927542407</v>
      </c>
      <c r="F210" s="18">
        <f t="shared" si="69"/>
        <v>15.509828991529487</v>
      </c>
      <c r="G210" s="18">
        <f t="shared" si="68"/>
        <v>0.99330009348706749</v>
      </c>
      <c r="H210" s="18">
        <f t="shared" si="68"/>
        <v>1.0522664199814986</v>
      </c>
      <c r="I210" s="18">
        <f t="shared" si="68"/>
        <v>0</v>
      </c>
      <c r="J210" s="18">
        <f t="shared" si="68"/>
        <v>0</v>
      </c>
      <c r="K210" s="18">
        <f t="shared" si="68"/>
        <v>16.323711619215899</v>
      </c>
      <c r="L210" s="18">
        <f t="shared" si="68"/>
        <v>8.2506551690258245</v>
      </c>
      <c r="M210" s="18">
        <f t="shared" si="68"/>
        <v>11.646508237560608</v>
      </c>
    </row>
    <row r="211" spans="1:13">
      <c r="A211" s="13" t="s">
        <v>46</v>
      </c>
      <c r="B211" s="22">
        <f t="shared" si="70"/>
        <v>211.10999761169984</v>
      </c>
      <c r="C211" s="22">
        <f t="shared" si="70"/>
        <v>407.33452416393772</v>
      </c>
      <c r="D211" s="22">
        <f t="shared" si="70"/>
        <v>308.50116885452258</v>
      </c>
      <c r="E211" s="22">
        <f t="shared" si="69"/>
        <v>304.73702156678883</v>
      </c>
      <c r="F211" s="22">
        <f t="shared" si="69"/>
        <v>269.73070161419207</v>
      </c>
      <c r="G211" s="22">
        <f t="shared" si="68"/>
        <v>414.84808351511367</v>
      </c>
      <c r="H211" s="22">
        <f t="shared" si="68"/>
        <v>561.59805735430155</v>
      </c>
      <c r="I211" s="22">
        <f t="shared" si="68"/>
        <v>480.59305617642678</v>
      </c>
      <c r="J211" s="22">
        <f t="shared" si="68"/>
        <v>434.02387101277299</v>
      </c>
      <c r="K211" s="22">
        <f t="shared" si="68"/>
        <v>615.54921484688361</v>
      </c>
      <c r="L211" s="22">
        <f t="shared" si="68"/>
        <v>438.75653399650167</v>
      </c>
      <c r="M211" s="22">
        <f t="shared" si="68"/>
        <v>543.45169687120199</v>
      </c>
    </row>
    <row r="212" spans="1:13">
      <c r="A212" s="23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</row>
    <row r="213" spans="1:13">
      <c r="A213" s="12" t="s">
        <v>47</v>
      </c>
      <c r="B213" s="18">
        <f t="shared" ref="B213:M213" si="71">B45/2.7</f>
        <v>11.415512711844563</v>
      </c>
      <c r="C213" s="18">
        <f t="shared" si="71"/>
        <v>6.5326982236776825</v>
      </c>
      <c r="D213" s="18">
        <f t="shared" si="71"/>
        <v>13.568602769286098</v>
      </c>
      <c r="E213" s="18">
        <f t="shared" si="71"/>
        <v>5.5630381041684425</v>
      </c>
      <c r="F213" s="18">
        <f t="shared" si="71"/>
        <v>4.5437110436311325</v>
      </c>
      <c r="G213" s="18">
        <f t="shared" si="71"/>
        <v>38.073387348083514</v>
      </c>
      <c r="H213" s="18">
        <f t="shared" si="71"/>
        <v>19.516651248843665</v>
      </c>
      <c r="I213" s="18">
        <f t="shared" si="71"/>
        <v>8.9420354641633146</v>
      </c>
      <c r="J213" s="18">
        <f t="shared" si="71"/>
        <v>2.4575975431004395</v>
      </c>
      <c r="K213" s="18">
        <f t="shared" si="71"/>
        <v>6.0236664235673407</v>
      </c>
      <c r="L213" s="18">
        <f t="shared" si="71"/>
        <v>0</v>
      </c>
      <c r="M213" s="18">
        <f t="shared" si="71"/>
        <v>0</v>
      </c>
    </row>
    <row r="214" spans="1:13">
      <c r="A214" s="12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>
      <c r="A215" s="12" t="s">
        <v>48</v>
      </c>
      <c r="B215" s="18">
        <f t="shared" ref="B215:M215" si="72">B47/2.7</f>
        <v>44.287513873214039</v>
      </c>
      <c r="C215" s="18">
        <f t="shared" si="72"/>
        <v>103.48913367073536</v>
      </c>
      <c r="D215" s="18">
        <f t="shared" si="72"/>
        <v>45.11598633339328</v>
      </c>
      <c r="E215" s="18">
        <f t="shared" si="72"/>
        <v>46.57318216690819</v>
      </c>
      <c r="F215" s="18">
        <f t="shared" si="72"/>
        <v>42.295029566885091</v>
      </c>
      <c r="G215" s="18">
        <f t="shared" si="72"/>
        <v>43.739482704892481</v>
      </c>
      <c r="H215" s="18">
        <f t="shared" si="72"/>
        <v>81.305889608387304</v>
      </c>
      <c r="I215" s="18">
        <f t="shared" si="72"/>
        <v>34.69527641186113</v>
      </c>
      <c r="J215" s="18">
        <f t="shared" si="72"/>
        <v>50.113073218398817</v>
      </c>
      <c r="K215" s="18">
        <f t="shared" si="72"/>
        <v>50.784070128677321</v>
      </c>
      <c r="L215" s="18">
        <f t="shared" si="72"/>
        <v>41.320059548529947</v>
      </c>
      <c r="M215" s="18">
        <f t="shared" si="72"/>
        <v>52.754620395191267</v>
      </c>
    </row>
    <row r="216" spans="1:13">
      <c r="A216" s="23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>
      <c r="A217" s="10" t="s">
        <v>49</v>
      </c>
      <c r="B217" s="24">
        <f t="shared" ref="B217:J217" si="73">SUM(B218,B223,B225)</f>
        <v>4487.5193054261235</v>
      </c>
      <c r="C217" s="24">
        <f t="shared" si="73"/>
        <v>3922.2159372829219</v>
      </c>
      <c r="D217" s="24">
        <f t="shared" si="73"/>
        <v>3767.1893544326563</v>
      </c>
      <c r="E217" s="24">
        <f t="shared" si="73"/>
        <v>3927.3693632256418</v>
      </c>
      <c r="F217" s="24">
        <f t="shared" si="73"/>
        <v>4022.3429758670291</v>
      </c>
      <c r="G217" s="24">
        <f t="shared" si="73"/>
        <v>4300.7954191336858</v>
      </c>
      <c r="H217" s="24">
        <f t="shared" si="73"/>
        <v>4660.7878507554742</v>
      </c>
      <c r="I217" s="24">
        <f t="shared" si="73"/>
        <v>4696.4267620324845</v>
      </c>
      <c r="J217" s="24">
        <f t="shared" si="73"/>
        <v>4438.5514762336843</v>
      </c>
      <c r="K217" s="24">
        <f>SUM(K218,K223,K225)</f>
        <v>4634.4268570368877</v>
      </c>
      <c r="L217" s="24">
        <f>SUM(L218,L223,L225)</f>
        <v>5343.6739541649758</v>
      </c>
      <c r="M217" s="24">
        <f>SUM(M218,M223,M225)</f>
        <v>5994.3292208664134</v>
      </c>
    </row>
    <row r="218" spans="1:13">
      <c r="A218" s="12" t="s">
        <v>50</v>
      </c>
      <c r="B218" s="11">
        <f t="shared" ref="B218:J218" si="74">SUM(B219:B221)</f>
        <v>4063.1560215602622</v>
      </c>
      <c r="C218" s="11">
        <f t="shared" si="74"/>
        <v>3555.15331944031</v>
      </c>
      <c r="D218" s="11">
        <f t="shared" si="74"/>
        <v>3560.2202841215612</v>
      </c>
      <c r="E218" s="11">
        <f t="shared" si="74"/>
        <v>3648.2166908191971</v>
      </c>
      <c r="F218" s="11">
        <f t="shared" si="74"/>
        <v>3687.0760747962286</v>
      </c>
      <c r="G218" s="11">
        <f t="shared" si="74"/>
        <v>3936.1483328139602</v>
      </c>
      <c r="H218" s="11">
        <f t="shared" si="74"/>
        <v>4150.4247610237444</v>
      </c>
      <c r="I218" s="11">
        <f t="shared" si="74"/>
        <v>4171.9676650275669</v>
      </c>
      <c r="J218" s="11">
        <f t="shared" si="74"/>
        <v>4095.2551127242264</v>
      </c>
      <c r="K218" s="11">
        <f>SUM(K219:K221)</f>
        <v>4299.4900496968712</v>
      </c>
      <c r="L218" s="11">
        <f>SUM(L219:L221)</f>
        <v>4997.0831476367648</v>
      </c>
      <c r="M218" s="11">
        <f>SUM(M219:M221)</f>
        <v>5631.9653413947462</v>
      </c>
    </row>
    <row r="219" spans="1:13">
      <c r="A219" s="26" t="s">
        <v>51</v>
      </c>
      <c r="B219" s="18">
        <f t="shared" ref="B219:M219" si="75">B51/2.7</f>
        <v>1656.432816180499</v>
      </c>
      <c r="C219" s="18">
        <f t="shared" si="75"/>
        <v>1551.6681552049224</v>
      </c>
      <c r="D219" s="18">
        <f t="shared" si="75"/>
        <v>1427.4276209314871</v>
      </c>
      <c r="E219" s="18">
        <f t="shared" si="75"/>
        <v>1438.8151052766175</v>
      </c>
      <c r="F219" s="18">
        <f t="shared" si="75"/>
        <v>1430.9421447978264</v>
      </c>
      <c r="G219" s="18">
        <f t="shared" si="75"/>
        <v>1505.7923028980988</v>
      </c>
      <c r="H219" s="18">
        <f t="shared" si="75"/>
        <v>1542.7482269503548</v>
      </c>
      <c r="I219" s="18">
        <f t="shared" si="75"/>
        <v>1576.6472954850249</v>
      </c>
      <c r="J219" s="18">
        <f t="shared" si="75"/>
        <v>1556.4758846932364</v>
      </c>
      <c r="K219" s="18">
        <f t="shared" si="75"/>
        <v>1603.0691148508042</v>
      </c>
      <c r="L219" s="18">
        <f t="shared" si="75"/>
        <v>2203.487871489433</v>
      </c>
      <c r="M219" s="18">
        <f t="shared" si="75"/>
        <v>2618.1063237370331</v>
      </c>
    </row>
    <row r="220" spans="1:13">
      <c r="A220" s="26" t="s">
        <v>52</v>
      </c>
      <c r="B220" s="18">
        <f t="shared" ref="B220:M220" si="76">B52/2.7</f>
        <v>1426.660360305515</v>
      </c>
      <c r="C220" s="18">
        <f t="shared" si="76"/>
        <v>1090.7958717872384</v>
      </c>
      <c r="D220" s="18">
        <f t="shared" si="76"/>
        <v>1119.5162740514297</v>
      </c>
      <c r="E220" s="18">
        <f t="shared" si="76"/>
        <v>1071.3468587503196</v>
      </c>
      <c r="F220" s="18">
        <f t="shared" si="76"/>
        <v>1113.6023653508073</v>
      </c>
      <c r="G220" s="18">
        <f t="shared" si="76"/>
        <v>1053.1396073543158</v>
      </c>
      <c r="H220" s="18">
        <f t="shared" si="76"/>
        <v>995.89962997224802</v>
      </c>
      <c r="I220" s="18">
        <f t="shared" si="76"/>
        <v>979.64014304872592</v>
      </c>
      <c r="J220" s="18">
        <f t="shared" si="76"/>
        <v>900.66238570531141</v>
      </c>
      <c r="K220" s="18">
        <f t="shared" si="76"/>
        <v>908.77325948605232</v>
      </c>
      <c r="L220" s="18">
        <f t="shared" si="76"/>
        <v>986.47476224033221</v>
      </c>
      <c r="M220" s="18">
        <f t="shared" si="76"/>
        <v>1116.7658071248507</v>
      </c>
    </row>
    <row r="221" spans="1:13">
      <c r="A221" s="26" t="s">
        <v>53</v>
      </c>
      <c r="B221" s="18">
        <f t="shared" ref="B221:M221" si="77">B53/2.7</f>
        <v>980.06284507424812</v>
      </c>
      <c r="C221" s="18">
        <f t="shared" si="77"/>
        <v>912.68929244814922</v>
      </c>
      <c r="D221" s="18">
        <f t="shared" si="77"/>
        <v>1013.2763891386442</v>
      </c>
      <c r="E221" s="18">
        <f t="shared" si="77"/>
        <v>1138.0547267922598</v>
      </c>
      <c r="F221" s="18">
        <f t="shared" si="77"/>
        <v>1142.5315646475947</v>
      </c>
      <c r="G221" s="18">
        <f t="shared" si="77"/>
        <v>1377.2164225615454</v>
      </c>
      <c r="H221" s="18">
        <f t="shared" si="77"/>
        <v>1611.7769041011413</v>
      </c>
      <c r="I221" s="18">
        <f t="shared" si="77"/>
        <v>1615.680226493816</v>
      </c>
      <c r="J221" s="18">
        <f t="shared" si="77"/>
        <v>1638.1168423256786</v>
      </c>
      <c r="K221" s="18">
        <f t="shared" si="77"/>
        <v>1787.6476753600143</v>
      </c>
      <c r="L221" s="18">
        <f t="shared" si="77"/>
        <v>1807.120513907</v>
      </c>
      <c r="M221" s="18">
        <f t="shared" si="77"/>
        <v>1897.0932105328627</v>
      </c>
    </row>
    <row r="222" spans="1:13">
      <c r="A222" s="23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1:13">
      <c r="A223" s="12" t="s">
        <v>54</v>
      </c>
      <c r="B223" s="18">
        <f t="shared" ref="B223:M223" si="78">B55/2.7</f>
        <v>424.36328386586183</v>
      </c>
      <c r="C223" s="18">
        <f t="shared" si="78"/>
        <v>367.06261784261193</v>
      </c>
      <c r="D223" s="18">
        <f t="shared" si="78"/>
        <v>206.96907031109509</v>
      </c>
      <c r="E223" s="18">
        <f t="shared" si="78"/>
        <v>279.15267240644448</v>
      </c>
      <c r="F223" s="18">
        <f t="shared" si="78"/>
        <v>335.26690107080071</v>
      </c>
      <c r="G223" s="18">
        <f t="shared" si="78"/>
        <v>364.6470863197257</v>
      </c>
      <c r="H223" s="18">
        <f t="shared" si="78"/>
        <v>510.36308973172993</v>
      </c>
      <c r="I223" s="18">
        <f t="shared" si="78"/>
        <v>524.45909700491723</v>
      </c>
      <c r="J223" s="18">
        <f t="shared" si="78"/>
        <v>343.29636350945765</v>
      </c>
      <c r="K223" s="18">
        <f t="shared" si="78"/>
        <v>334.93680734001663</v>
      </c>
      <c r="L223" s="18">
        <f t="shared" si="78"/>
        <v>346.59080652821069</v>
      </c>
      <c r="M223" s="18">
        <f t="shared" si="78"/>
        <v>362.36387947166708</v>
      </c>
    </row>
    <row r="224" spans="1:13">
      <c r="A224" s="12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</row>
    <row r="225" spans="1:13">
      <c r="A225" s="12" t="s">
        <v>55</v>
      </c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</row>
    <row r="226" spans="1:13">
      <c r="A226" s="28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</row>
    <row r="227" spans="1:13" ht="18" customHeight="1">
      <c r="A227" s="29" t="s">
        <v>56</v>
      </c>
      <c r="B227" s="30">
        <f t="shared" ref="B227:M227" si="79">B179-B218</f>
        <v>-245.11062400194851</v>
      </c>
      <c r="C227" s="30">
        <f t="shared" si="79"/>
        <v>274.28550262975068</v>
      </c>
      <c r="D227" s="30">
        <f t="shared" si="79"/>
        <v>82.912517532817219</v>
      </c>
      <c r="E227" s="30">
        <f t="shared" si="79"/>
        <v>185.3840260847328</v>
      </c>
      <c r="F227" s="30">
        <f t="shared" si="79"/>
        <v>260.64967316605316</v>
      </c>
      <c r="G227" s="30">
        <f t="shared" si="79"/>
        <v>350.79448426300951</v>
      </c>
      <c r="H227" s="30">
        <f t="shared" si="79"/>
        <v>597.54316990440839</v>
      </c>
      <c r="I227" s="30">
        <f t="shared" si="79"/>
        <v>625.39651318730466</v>
      </c>
      <c r="J227" s="30">
        <f t="shared" si="79"/>
        <v>-131.62525301877577</v>
      </c>
      <c r="K227" s="30">
        <f t="shared" si="79"/>
        <v>397.55004802461826</v>
      </c>
      <c r="L227" s="30">
        <f t="shared" si="79"/>
        <v>356.01097672617016</v>
      </c>
      <c r="M227" s="30">
        <f t="shared" si="79"/>
        <v>317.21330479386779</v>
      </c>
    </row>
    <row r="228" spans="1:13" ht="18" customHeight="1">
      <c r="A228" s="29" t="s">
        <v>57</v>
      </c>
      <c r="B228" s="30">
        <f t="shared" ref="B228:M228" si="80">B178-(B217-B220)</f>
        <v>812.88947902276368</v>
      </c>
      <c r="C228" s="30">
        <f t="shared" si="80"/>
        <v>1108.0405884687902</v>
      </c>
      <c r="D228" s="30">
        <f t="shared" si="80"/>
        <v>1054.1443103758311</v>
      </c>
      <c r="E228" s="30">
        <f t="shared" si="80"/>
        <v>1029.714432699684</v>
      </c>
      <c r="F228" s="30">
        <f t="shared" si="80"/>
        <v>1085.8238780565762</v>
      </c>
      <c r="G228" s="30">
        <f t="shared" si="80"/>
        <v>1121.0998753505755</v>
      </c>
      <c r="H228" s="30">
        <f t="shared" si="80"/>
        <v>1183.9022510021582</v>
      </c>
      <c r="I228" s="30">
        <f t="shared" si="80"/>
        <v>1124.2148711071377</v>
      </c>
      <c r="J228" s="30">
        <f t="shared" si="80"/>
        <v>478.31143993857677</v>
      </c>
      <c r="K228" s="30">
        <f t="shared" si="80"/>
        <v>1028.1942367228989</v>
      </c>
      <c r="L228" s="30">
        <f t="shared" si="80"/>
        <v>1037.2149919868207</v>
      </c>
      <c r="M228" s="30">
        <f t="shared" si="80"/>
        <v>1124.3698528422428</v>
      </c>
    </row>
    <row r="229" spans="1:13" ht="18" customHeight="1">
      <c r="A229" s="29" t="s">
        <v>58</v>
      </c>
      <c r="B229" s="31">
        <f t="shared" ref="B229:M229" si="81">B178-B217</f>
        <v>-613.77088128275136</v>
      </c>
      <c r="C229" s="31">
        <f t="shared" si="81"/>
        <v>17.244716681551836</v>
      </c>
      <c r="D229" s="31">
        <f t="shared" si="81"/>
        <v>-65.371963675598636</v>
      </c>
      <c r="E229" s="31">
        <f t="shared" si="81"/>
        <v>-41.632426050635331</v>
      </c>
      <c r="F229" s="31">
        <f t="shared" si="81"/>
        <v>-27.778487294231127</v>
      </c>
      <c r="G229" s="31">
        <f t="shared" si="81"/>
        <v>67.960267996259972</v>
      </c>
      <c r="H229" s="31">
        <f t="shared" si="81"/>
        <v>188.00262102991019</v>
      </c>
      <c r="I229" s="31">
        <f t="shared" si="81"/>
        <v>144.57472805841189</v>
      </c>
      <c r="J229" s="31">
        <f t="shared" si="81"/>
        <v>-422.35094576673464</v>
      </c>
      <c r="K229" s="31">
        <f t="shared" si="81"/>
        <v>119.42097723684674</v>
      </c>
      <c r="L229" s="31">
        <f t="shared" si="81"/>
        <v>50.740229746488694</v>
      </c>
      <c r="M229" s="31">
        <f t="shared" si="81"/>
        <v>7.6040457173921823</v>
      </c>
    </row>
    <row r="230" spans="1:13">
      <c r="A230" s="28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>
      <c r="A231" s="10" t="s">
        <v>59</v>
      </c>
      <c r="B231" s="32" t="s">
        <v>60</v>
      </c>
      <c r="C231" s="32" t="s">
        <v>60</v>
      </c>
      <c r="D231" s="32" t="s">
        <v>60</v>
      </c>
      <c r="E231" s="32" t="s">
        <v>60</v>
      </c>
      <c r="F231" s="32" t="s">
        <v>60</v>
      </c>
      <c r="G231" s="32" t="s">
        <v>60</v>
      </c>
      <c r="H231" s="32" t="s">
        <v>60</v>
      </c>
      <c r="I231" s="32" t="s">
        <v>60</v>
      </c>
      <c r="J231" s="32" t="s">
        <v>60</v>
      </c>
      <c r="K231" s="32" t="s">
        <v>60</v>
      </c>
      <c r="L231" s="32" t="s">
        <v>60</v>
      </c>
      <c r="M231" s="32" t="s">
        <v>60</v>
      </c>
    </row>
    <row r="232" spans="1:13">
      <c r="A232" s="10" t="s">
        <v>61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</row>
    <row r="233" spans="1:13">
      <c r="A233" s="10" t="s">
        <v>62</v>
      </c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</row>
    <row r="234" spans="1:13">
      <c r="A234" s="10" t="s">
        <v>63</v>
      </c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</row>
    <row r="235" spans="1:13">
      <c r="A235" s="10" t="s">
        <v>64</v>
      </c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</row>
    <row r="236" spans="1:13">
      <c r="A236" s="10" t="s">
        <v>65</v>
      </c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</row>
    <row r="237" spans="1:13">
      <c r="A237" s="10" t="s">
        <v>66</v>
      </c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</row>
    <row r="238" spans="1:13">
      <c r="A238" s="10" t="s">
        <v>67</v>
      </c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</row>
    <row r="239" spans="1:13">
      <c r="A239" s="28" t="s">
        <v>68</v>
      </c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</row>
    <row r="240" spans="1:13">
      <c r="A240" s="28" t="s">
        <v>69</v>
      </c>
      <c r="B240" s="32" t="s">
        <v>60</v>
      </c>
      <c r="C240" s="32" t="s">
        <v>60</v>
      </c>
      <c r="D240" s="32" t="s">
        <v>60</v>
      </c>
      <c r="E240" s="32" t="s">
        <v>60</v>
      </c>
      <c r="F240" s="32" t="s">
        <v>60</v>
      </c>
      <c r="G240" s="32" t="s">
        <v>60</v>
      </c>
      <c r="H240" s="32" t="s">
        <v>60</v>
      </c>
      <c r="I240" s="32" t="s">
        <v>60</v>
      </c>
      <c r="J240" s="32" t="s">
        <v>60</v>
      </c>
      <c r="K240" s="32" t="s">
        <v>60</v>
      </c>
      <c r="L240" s="32" t="s">
        <v>60</v>
      </c>
      <c r="M240" s="32" t="s">
        <v>60</v>
      </c>
    </row>
    <row r="241" spans="1:13">
      <c r="A241" s="28" t="s">
        <v>63</v>
      </c>
      <c r="B241" s="32" t="s">
        <v>60</v>
      </c>
      <c r="C241" s="32" t="s">
        <v>60</v>
      </c>
      <c r="D241" s="32" t="s">
        <v>60</v>
      </c>
      <c r="E241" s="32" t="s">
        <v>60</v>
      </c>
      <c r="F241" s="32" t="s">
        <v>60</v>
      </c>
      <c r="G241" s="32" t="s">
        <v>60</v>
      </c>
      <c r="H241" s="32" t="s">
        <v>60</v>
      </c>
      <c r="I241" s="32" t="s">
        <v>60</v>
      </c>
      <c r="J241" s="32" t="s">
        <v>60</v>
      </c>
      <c r="K241" s="32" t="s">
        <v>60</v>
      </c>
      <c r="L241" s="32" t="s">
        <v>60</v>
      </c>
      <c r="M241" s="32" t="s">
        <v>60</v>
      </c>
    </row>
    <row r="242" spans="1:13">
      <c r="A242" s="28" t="s">
        <v>70</v>
      </c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</row>
    <row r="243" spans="1:13">
      <c r="A243" s="28" t="s">
        <v>71</v>
      </c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</row>
    <row r="244" spans="1:13">
      <c r="A244" s="28" t="s">
        <v>72</v>
      </c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</row>
    <row r="245" spans="1:13">
      <c r="A245" s="28" t="s">
        <v>73</v>
      </c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</row>
    <row r="246" spans="1:13" ht="13.5" thickBot="1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</row>
    <row r="247" spans="1:13">
      <c r="A247" s="35" t="s">
        <v>74</v>
      </c>
    </row>
    <row r="248" spans="1:13">
      <c r="A248" s="20" t="s">
        <v>75</v>
      </c>
    </row>
    <row r="249" spans="1:13">
      <c r="A249" s="20" t="s">
        <v>76</v>
      </c>
    </row>
    <row r="250" spans="1:13">
      <c r="A250" s="35" t="s">
        <v>81</v>
      </c>
    </row>
    <row r="251" spans="1:13">
      <c r="A251" s="20" t="s">
        <v>82</v>
      </c>
    </row>
    <row r="252" spans="1:13">
      <c r="A252" s="20" t="s">
        <v>84</v>
      </c>
    </row>
  </sheetData>
  <sheetProtection selectLockedCells="1"/>
  <printOptions horizontalCentered="1"/>
  <pageMargins left="0.25" right="0.25" top="1" bottom="0.25" header="0.5" footer="0.5"/>
  <pageSetup scale="15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2025-08-11T20:23:26Z</dcterms:created>
  <dcterms:modified xsi:type="dcterms:W3CDTF">2025-08-12T20:40:47Z</dcterms:modified>
</cp:coreProperties>
</file>